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0" yWindow="260" windowWidth="9870" windowHeight="11020" tabRatio="601"/>
  </bookViews>
  <sheets>
    <sheet name="9 месяцев" sheetId="2" r:id="rId1"/>
  </sheets>
  <definedNames>
    <definedName name="_xlnm._FilterDatabase" localSheetId="0" hidden="1">'9 месяцев'!$A$12:$X$383</definedName>
  </definedNames>
  <calcPr calcId="145621"/>
</workbook>
</file>

<file path=xl/calcChain.xml><?xml version="1.0" encoding="utf-8"?>
<calcChain xmlns="http://schemas.openxmlformats.org/spreadsheetml/2006/main">
  <c r="C383" i="2" l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13" i="2"/>
  <c r="G351" i="2" l="1"/>
  <c r="G300" i="2"/>
  <c r="G301" i="2"/>
  <c r="G156" i="2"/>
  <c r="K309" i="2" l="1"/>
  <c r="Q240" i="2"/>
  <c r="J236" i="2"/>
  <c r="J224" i="2"/>
  <c r="J223" i="2"/>
  <c r="J267" i="2"/>
  <c r="J167" i="2"/>
  <c r="J164" i="2"/>
  <c r="J162" i="2"/>
  <c r="Q158" i="2"/>
  <c r="Q157" i="2"/>
  <c r="J126" i="2"/>
  <c r="T131" i="2"/>
  <c r="J81" i="2"/>
  <c r="J109" i="2"/>
  <c r="J381" i="2"/>
  <c r="M275" i="2"/>
  <c r="Q244" i="2"/>
  <c r="N288" i="2"/>
  <c r="U291" i="2"/>
  <c r="J208" i="2"/>
  <c r="J199" i="2"/>
  <c r="J144" i="2"/>
  <c r="J35" i="2"/>
  <c r="J19" i="2"/>
  <c r="J263" i="2"/>
  <c r="J189" i="2" l="1"/>
  <c r="Q185" i="2"/>
  <c r="J147" i="2"/>
  <c r="J113" i="2"/>
  <c r="Q110" i="2"/>
  <c r="J123" i="2"/>
  <c r="V67" i="2"/>
  <c r="J44" i="2"/>
  <c r="S64" i="2"/>
  <c r="J55" i="2" l="1"/>
  <c r="J43" i="2"/>
  <c r="K42" i="2"/>
  <c r="J39" i="2"/>
  <c r="S47" i="2"/>
  <c r="L84" i="2"/>
  <c r="Q25" i="2"/>
  <c r="L376" i="2" l="1"/>
  <c r="Q382" i="2"/>
  <c r="L382" i="2"/>
  <c r="U378" i="2"/>
  <c r="N381" i="2"/>
  <c r="V372" i="2"/>
  <c r="N371" i="2"/>
  <c r="J369" i="2"/>
  <c r="J350" i="2"/>
  <c r="L357" i="2"/>
  <c r="T341" i="2"/>
  <c r="J346" i="2"/>
  <c r="Q334" i="2"/>
  <c r="Q309" i="2"/>
  <c r="J308" i="2"/>
  <c r="M306" i="2"/>
  <c r="V286" i="2"/>
  <c r="U286" i="2"/>
  <c r="D276" i="2"/>
  <c r="S274" i="2"/>
  <c r="Q274" i="2"/>
  <c r="K273" i="2"/>
  <c r="V284" i="2"/>
  <c r="V282" i="2"/>
  <c r="V281" i="2"/>
  <c r="V283" i="2"/>
  <c r="S283" i="2"/>
  <c r="K283" i="2"/>
  <c r="V271" i="2"/>
  <c r="G267" i="2"/>
  <c r="V257" i="2"/>
  <c r="V263" i="2"/>
  <c r="V262" i="2"/>
  <c r="V261" i="2"/>
  <c r="V258" i="2"/>
  <c r="V259" i="2"/>
  <c r="V260" i="2"/>
  <c r="G243" i="2"/>
  <c r="J240" i="2"/>
  <c r="Q238" i="2"/>
  <c r="S236" i="2"/>
  <c r="Q236" i="2"/>
  <c r="V230" i="2"/>
  <c r="V228" i="2"/>
  <c r="V226" i="2"/>
  <c r="Q223" i="2"/>
  <c r="L217" i="2"/>
  <c r="U216" i="2"/>
  <c r="Q216" i="2"/>
  <c r="Q206" i="2"/>
  <c r="J204" i="2"/>
  <c r="K196" i="2"/>
  <c r="K208" i="2"/>
  <c r="Q190" i="2"/>
  <c r="K194" i="2"/>
  <c r="V189" i="2"/>
  <c r="V183" i="2"/>
  <c r="S183" i="2"/>
  <c r="V182" i="2"/>
  <c r="T182" i="2"/>
  <c r="S182" i="2"/>
  <c r="Q182" i="2"/>
  <c r="Q187" i="2"/>
  <c r="V186" i="2"/>
  <c r="V180" i="2"/>
  <c r="S180" i="2"/>
  <c r="V184" i="2"/>
  <c r="V185" i="2"/>
  <c r="V173" i="2"/>
  <c r="V179" i="2"/>
  <c r="V177" i="2"/>
  <c r="V176" i="2"/>
  <c r="V174" i="2"/>
  <c r="V181" i="2"/>
  <c r="V175" i="2"/>
  <c r="T295" i="2"/>
  <c r="T143" i="2"/>
  <c r="V162" i="2"/>
  <c r="U162" i="2"/>
  <c r="K162" i="2"/>
  <c r="J141" i="2"/>
  <c r="S155" i="2"/>
  <c r="Q155" i="2"/>
  <c r="J155" i="2"/>
  <c r="K144" i="2"/>
  <c r="Q166" i="2"/>
  <c r="O164" i="2"/>
  <c r="Q137" i="2"/>
  <c r="J137" i="2"/>
  <c r="S158" i="2"/>
  <c r="K153" i="2"/>
  <c r="V151" i="2"/>
  <c r="V150" i="2"/>
  <c r="V168" i="2"/>
  <c r="V149" i="2"/>
  <c r="K149" i="2"/>
  <c r="V148" i="2"/>
  <c r="V147" i="2"/>
  <c r="U147" i="2"/>
  <c r="T147" i="2"/>
  <c r="V145" i="2"/>
  <c r="S145" i="2"/>
  <c r="Q145" i="2"/>
  <c r="J145" i="2"/>
  <c r="V165" i="2"/>
  <c r="N170" i="2"/>
  <c r="K136" i="2"/>
  <c r="U133" i="2"/>
  <c r="K131" i="2"/>
  <c r="V116" i="2"/>
  <c r="V115" i="2"/>
  <c r="V123" i="2"/>
  <c r="V114" i="2"/>
  <c r="V113" i="2"/>
  <c r="V119" i="2"/>
  <c r="V118" i="2"/>
  <c r="J118" i="2"/>
  <c r="V124" i="2"/>
  <c r="J122" i="2"/>
  <c r="V121" i="2"/>
  <c r="K121" i="2"/>
  <c r="V120" i="2"/>
  <c r="U120" i="2"/>
  <c r="K120" i="2"/>
  <c r="J120" i="2"/>
  <c r="Q95" i="2"/>
  <c r="U82" i="2"/>
  <c r="T82" i="2"/>
  <c r="G82" i="2"/>
  <c r="S107" i="2"/>
  <c r="T100" i="2"/>
  <c r="Q92" i="2"/>
  <c r="J92" i="2"/>
  <c r="Q81" i="2"/>
  <c r="J83" i="2"/>
  <c r="Q13" i="2"/>
  <c r="J13" i="2"/>
  <c r="V58" i="2"/>
  <c r="V46" i="2"/>
  <c r="V44" i="2"/>
  <c r="S55" i="2"/>
  <c r="Q55" i="2"/>
  <c r="Q56" i="2"/>
  <c r="V66" i="2"/>
  <c r="V65" i="2"/>
  <c r="V64" i="2"/>
  <c r="V63" i="2"/>
  <c r="V62" i="2"/>
  <c r="V60" i="2"/>
  <c r="V59" i="2"/>
  <c r="V57" i="2"/>
  <c r="V45" i="2"/>
  <c r="V55" i="2"/>
  <c r="V54" i="2"/>
  <c r="V53" i="2"/>
  <c r="Q61" i="2"/>
  <c r="V42" i="2"/>
  <c r="V52" i="2"/>
  <c r="V51" i="2"/>
  <c r="J51" i="2"/>
  <c r="V40" i="2"/>
  <c r="V50" i="2"/>
  <c r="V39" i="2"/>
  <c r="V49" i="2"/>
  <c r="V48" i="2"/>
  <c r="V47" i="2"/>
  <c r="J47" i="2"/>
  <c r="Q35" i="2"/>
  <c r="K38" i="2"/>
  <c r="J27" i="2"/>
  <c r="K19" i="2"/>
  <c r="G19" i="2"/>
  <c r="T26" i="2"/>
  <c r="K24" i="2"/>
  <c r="J24" i="2"/>
  <c r="L21" i="2"/>
  <c r="V17" i="2"/>
  <c r="V33" i="2"/>
  <c r="U33" i="2"/>
  <c r="J33" i="2"/>
  <c r="V32" i="2"/>
  <c r="V31" i="2"/>
  <c r="V30" i="2"/>
  <c r="V25" i="2"/>
  <c r="S25" i="2"/>
  <c r="N25" i="2"/>
  <c r="T15" i="2"/>
  <c r="G232" i="2" l="1"/>
  <c r="G304" i="2" l="1"/>
  <c r="G17" i="2"/>
  <c r="H126" i="2" l="1"/>
  <c r="Q376" i="2"/>
  <c r="G383" i="2"/>
  <c r="V382" i="2"/>
  <c r="K382" i="2"/>
  <c r="G382" i="2"/>
  <c r="K377" i="2"/>
  <c r="K378" i="2"/>
  <c r="Q381" i="2"/>
  <c r="Q371" i="2"/>
  <c r="S369" i="2"/>
  <c r="Q369" i="2"/>
  <c r="S367" i="2"/>
  <c r="K367" i="2"/>
  <c r="S366" i="2"/>
  <c r="Q366" i="2"/>
  <c r="U362" i="2"/>
  <c r="K348" i="2"/>
  <c r="V355" i="2"/>
  <c r="U355" i="2"/>
  <c r="K346" i="2"/>
  <c r="J319" i="2"/>
  <c r="T313" i="2"/>
  <c r="K312" i="2"/>
  <c r="K311" i="2"/>
  <c r="V309" i="2"/>
  <c r="U309" i="2"/>
  <c r="L303" i="2"/>
  <c r="U287" i="2"/>
  <c r="N278" i="2"/>
  <c r="Q275" i="2"/>
  <c r="K280" i="2"/>
  <c r="T284" i="2"/>
  <c r="V269" i="2" l="1"/>
  <c r="U269" i="2"/>
  <c r="T269" i="2"/>
  <c r="K247" i="2"/>
  <c r="J244" i="2"/>
  <c r="D240" i="2"/>
  <c r="U238" i="2"/>
  <c r="K223" i="2" l="1"/>
  <c r="S225" i="2"/>
  <c r="J225" i="2"/>
  <c r="L214" i="2"/>
  <c r="K212" i="2"/>
  <c r="J212" i="2"/>
  <c r="V210" i="2"/>
  <c r="U210" i="2"/>
  <c r="G209" i="2"/>
  <c r="G201" i="2"/>
  <c r="U190" i="2"/>
  <c r="J190" i="2"/>
  <c r="T185" i="2"/>
  <c r="T184" i="2"/>
  <c r="K297" i="2"/>
  <c r="Q143" i="2"/>
  <c r="G162" i="2"/>
  <c r="K142" i="2"/>
  <c r="K137" i="2"/>
  <c r="U157" i="2"/>
  <c r="M157" i="2"/>
  <c r="Q153" i="2"/>
  <c r="Q150" i="2"/>
  <c r="T149" i="2"/>
  <c r="S148" i="2"/>
  <c r="Q148" i="2"/>
  <c r="T165" i="2"/>
  <c r="S165" i="2"/>
  <c r="Q165" i="2"/>
  <c r="U131" i="2"/>
  <c r="L115" i="2"/>
  <c r="T123" i="2"/>
  <c r="G121" i="2"/>
  <c r="K109" i="2"/>
  <c r="K105" i="2"/>
  <c r="G101" i="2"/>
  <c r="G100" i="2"/>
  <c r="T97" i="2"/>
  <c r="U87" i="2"/>
  <c r="K83" i="2"/>
  <c r="V13" i="2"/>
  <c r="U13" i="2"/>
  <c r="U34" i="2"/>
  <c r="K56" i="2"/>
  <c r="N54" i="2"/>
  <c r="G39" i="2"/>
  <c r="G49" i="2"/>
  <c r="Q47" i="2"/>
  <c r="N38" i="2"/>
  <c r="K26" i="2"/>
  <c r="N24" i="2"/>
  <c r="K21" i="2"/>
  <c r="J25" i="2"/>
  <c r="G313" i="2" l="1"/>
  <c r="G224" i="2"/>
  <c r="G223" i="2"/>
  <c r="T137" i="2"/>
  <c r="G137" i="2"/>
  <c r="G160" i="2"/>
  <c r="J157" i="2"/>
  <c r="J379" i="2"/>
  <c r="L277" i="2"/>
  <c r="G220" i="2"/>
  <c r="G202" i="2"/>
  <c r="G200" i="2"/>
  <c r="G199" i="2"/>
  <c r="G171" i="2"/>
  <c r="G152" i="2"/>
  <c r="L35" i="2"/>
  <c r="G375" i="2"/>
  <c r="G228" i="2"/>
  <c r="O115" i="2"/>
  <c r="G42" i="2"/>
  <c r="L381" i="2" l="1"/>
  <c r="G381" i="2"/>
  <c r="Q372" i="2"/>
  <c r="T366" i="2"/>
  <c r="U349" i="2"/>
  <c r="T349" i="2"/>
  <c r="L313" i="2"/>
  <c r="O299" i="2"/>
  <c r="K288" i="2"/>
  <c r="Q279" i="2"/>
  <c r="S284" i="2"/>
  <c r="Q284" i="2"/>
  <c r="Q283" i="2"/>
  <c r="S246" i="2"/>
  <c r="Q246" i="2"/>
  <c r="T245" i="2"/>
  <c r="O250" i="2"/>
  <c r="Q243" i="2"/>
  <c r="U240" i="2"/>
  <c r="N240" i="2"/>
  <c r="T238" i="2"/>
  <c r="G236" i="2"/>
  <c r="T234" i="2"/>
  <c r="U232" i="2"/>
  <c r="T232" i="2"/>
  <c r="T228" i="2"/>
  <c r="Q241" i="2"/>
  <c r="Q225" i="2"/>
  <c r="Q170" i="2"/>
  <c r="G170" i="2"/>
  <c r="T197" i="2"/>
  <c r="K201" i="2"/>
  <c r="L208" i="2"/>
  <c r="U203" i="2"/>
  <c r="T192" i="2"/>
  <c r="K191" i="2"/>
  <c r="J191" i="2"/>
  <c r="T190" i="2"/>
  <c r="T194" i="2"/>
  <c r="S185" i="2"/>
  <c r="G295" i="2"/>
  <c r="J143" i="2"/>
  <c r="G142" i="2"/>
  <c r="J140" i="2"/>
  <c r="S152" i="2"/>
  <c r="V138" i="2"/>
  <c r="T164" i="2"/>
  <c r="L164" i="2"/>
  <c r="K151" i="2"/>
  <c r="J150" i="2"/>
  <c r="N149" i="2"/>
  <c r="S147" i="2"/>
  <c r="Q147" i="2"/>
  <c r="S135" i="2"/>
  <c r="Q115" i="2"/>
  <c r="O123" i="2"/>
  <c r="J82" i="2"/>
  <c r="V100" i="2"/>
  <c r="U100" i="2"/>
  <c r="S34" i="2"/>
  <c r="Q34" i="2"/>
  <c r="K58" i="2"/>
  <c r="J46" i="2"/>
  <c r="S38" i="2"/>
  <c r="J38" i="2"/>
  <c r="J37" i="2"/>
  <c r="Q24" i="2"/>
  <c r="J21" i="2"/>
  <c r="K18" i="2"/>
  <c r="G33" i="2"/>
  <c r="J382" i="2" l="1"/>
  <c r="U381" i="2"/>
  <c r="S381" i="2"/>
  <c r="T378" i="2"/>
  <c r="J377" i="2"/>
  <c r="V375" i="2"/>
  <c r="J375" i="2"/>
  <c r="S372" i="2"/>
  <c r="K372" i="2"/>
  <c r="T371" i="2"/>
  <c r="L371" i="2"/>
  <c r="J371" i="2"/>
  <c r="G370" i="2"/>
  <c r="J366" i="2"/>
  <c r="T364" i="2"/>
  <c r="J364" i="2"/>
  <c r="J363" i="2"/>
  <c r="T346" i="2"/>
  <c r="K341" i="2"/>
  <c r="G341" i="2"/>
  <c r="S321" i="2"/>
  <c r="Q321" i="2"/>
  <c r="J313" i="2"/>
  <c r="T309" i="2"/>
  <c r="T308" i="2"/>
  <c r="K308" i="2"/>
  <c r="V307" i="2"/>
  <c r="U306" i="2"/>
  <c r="S300" i="2"/>
  <c r="J298" i="2"/>
  <c r="J297" i="2"/>
  <c r="U295" i="2"/>
  <c r="S295" i="2"/>
  <c r="J295" i="2"/>
  <c r="S288" i="2"/>
  <c r="Q288" i="2"/>
  <c r="S285" i="2"/>
  <c r="Q285" i="2"/>
  <c r="J285" i="2"/>
  <c r="J284" i="2"/>
  <c r="T283" i="2"/>
  <c r="J283" i="2"/>
  <c r="J281" i="2"/>
  <c r="T279" i="2"/>
  <c r="K276" i="2"/>
  <c r="J271" i="2"/>
  <c r="J269" i="2"/>
  <c r="D267" i="2"/>
  <c r="N263" i="2"/>
  <c r="G263" i="2"/>
  <c r="L262" i="2"/>
  <c r="J262" i="2"/>
  <c r="L260" i="2"/>
  <c r="J241" i="2"/>
  <c r="S240" i="2"/>
  <c r="V232" i="2"/>
  <c r="J227" i="2"/>
  <c r="G227" i="2"/>
  <c r="V225" i="2"/>
  <c r="T223" i="2"/>
  <c r="Q219" i="2"/>
  <c r="J217" i="2"/>
  <c r="K215" i="2"/>
  <c r="S210" i="2"/>
  <c r="Q210" i="2"/>
  <c r="J209" i="2"/>
  <c r="S208" i="2"/>
  <c r="K207" i="2"/>
  <c r="J207" i="2"/>
  <c r="S206" i="2"/>
  <c r="J206" i="2"/>
  <c r="U204" i="2"/>
  <c r="L204" i="2"/>
  <c r="S202" i="2"/>
  <c r="K202" i="2"/>
  <c r="J202" i="2"/>
  <c r="V195" i="2"/>
  <c r="V194" i="2"/>
  <c r="V193" i="2"/>
  <c r="V192" i="2"/>
  <c r="U192" i="2"/>
  <c r="V191" i="2"/>
  <c r="V190" i="2"/>
  <c r="K190" i="2"/>
  <c r="J185" i="2"/>
  <c r="K183" i="2"/>
  <c r="J181" i="2"/>
  <c r="T180" i="2"/>
  <c r="N179" i="2"/>
  <c r="T174" i="2"/>
  <c r="Q173" i="2"/>
  <c r="S169" i="2"/>
  <c r="Q169" i="2"/>
  <c r="V164" i="2"/>
  <c r="V163" i="2"/>
  <c r="Q163" i="2"/>
  <c r="J163" i="2"/>
  <c r="V156" i="2"/>
  <c r="J156" i="2"/>
  <c r="V144" i="2"/>
  <c r="S144" i="2"/>
  <c r="S143" i="2"/>
  <c r="J142" i="2"/>
  <c r="T140" i="2"/>
  <c r="S139" i="2"/>
  <c r="Q139" i="2"/>
  <c r="K138" i="2"/>
  <c r="J136" i="2"/>
  <c r="J124" i="2"/>
  <c r="K123" i="2"/>
  <c r="J121" i="2"/>
  <c r="G120" i="2"/>
  <c r="J119" i="2"/>
  <c r="J114" i="2"/>
  <c r="V110" i="2"/>
  <c r="V107" i="2"/>
  <c r="J107" i="2"/>
  <c r="J106" i="2"/>
  <c r="J105" i="2"/>
  <c r="J102" i="2"/>
  <c r="S98" i="2"/>
  <c r="L98" i="2"/>
  <c r="N97" i="2"/>
  <c r="J96" i="2"/>
  <c r="J95" i="2"/>
  <c r="Q94" i="2"/>
  <c r="S92" i="2"/>
  <c r="J91" i="2"/>
  <c r="Q90" i="2"/>
  <c r="T77" i="2"/>
  <c r="U69" i="2"/>
  <c r="R65" i="2"/>
  <c r="J65" i="2"/>
  <c r="K63" i="2"/>
  <c r="K62" i="2"/>
  <c r="Q58" i="2"/>
  <c r="J58" i="2"/>
  <c r="Q57" i="2"/>
  <c r="L54" i="2"/>
  <c r="Q50" i="2"/>
  <c r="J49" i="2"/>
  <c r="J45" i="2"/>
  <c r="J40" i="2"/>
  <c r="J31" i="2"/>
  <c r="J23" i="2"/>
  <c r="J20" i="2"/>
</calcChain>
</file>

<file path=xl/sharedStrings.xml><?xml version="1.0" encoding="utf-8"?>
<sst xmlns="http://schemas.openxmlformats.org/spreadsheetml/2006/main" count="403" uniqueCount="402">
  <si>
    <t>Адрес</t>
  </si>
  <si>
    <t>Большой пр.д.35в</t>
  </si>
  <si>
    <t>Мира ул.д.10</t>
  </si>
  <si>
    <t>н.р. Карповки д.18 Г</t>
  </si>
  <si>
    <t xml:space="preserve">Ак.Павлова ул.д.14 </t>
  </si>
  <si>
    <t xml:space="preserve">Каменноостровский пр.д.14 </t>
  </si>
  <si>
    <t xml:space="preserve">Каменноостровский пр.д.16 </t>
  </si>
  <si>
    <t>Каменноостровский пр.д.18/11</t>
  </si>
  <si>
    <t xml:space="preserve">Каменноостровский пр.д.22 </t>
  </si>
  <si>
    <t xml:space="preserve">Каменноостровский пр.д.24 </t>
  </si>
  <si>
    <t xml:space="preserve">Каменноостровский пр.д.25/2 </t>
  </si>
  <si>
    <t xml:space="preserve">Каменноостровский пр.д.27 </t>
  </si>
  <si>
    <t xml:space="preserve">Каменноостровский пр.д.29 </t>
  </si>
  <si>
    <t xml:space="preserve">Каменноостровский пр.д.35/75 </t>
  </si>
  <si>
    <t xml:space="preserve">Каменноостровский пр.д.38/96 </t>
  </si>
  <si>
    <t xml:space="preserve">Каменноостровский пр.д.39 </t>
  </si>
  <si>
    <t xml:space="preserve">Каменноостровский пр.д.41 </t>
  </si>
  <si>
    <t xml:space="preserve">Каменноостровский пр.д.43 </t>
  </si>
  <si>
    <t xml:space="preserve">Каменноостровский пр.д.45 </t>
  </si>
  <si>
    <t xml:space="preserve">Каменноостровский пр.д.47 </t>
  </si>
  <si>
    <t xml:space="preserve">Каменноостровский пр.д.53/22 </t>
  </si>
  <si>
    <t>Каменноостровский пр.д.57</t>
  </si>
  <si>
    <t xml:space="preserve">Каменноостровский пр.д.59 </t>
  </si>
  <si>
    <t>Каменноостровский пр.д.6</t>
  </si>
  <si>
    <t xml:space="preserve">Каменноостровский пр.д.61 </t>
  </si>
  <si>
    <t>Каменноостровский пр.д.65</t>
  </si>
  <si>
    <t xml:space="preserve">Каменноостровский пр.д20 </t>
  </si>
  <si>
    <t xml:space="preserve">Каменностровский пр.д.73/75 </t>
  </si>
  <si>
    <t xml:space="preserve">Котовского ул.д.1/10 </t>
  </si>
  <si>
    <t xml:space="preserve">Котовского ул.д.3/12 </t>
  </si>
  <si>
    <t xml:space="preserve">Котовского ул.д.5/14 </t>
  </si>
  <si>
    <t xml:space="preserve">Кронверкская  ул.д.25 </t>
  </si>
  <si>
    <t xml:space="preserve">Кронверкская ул.д. 12 </t>
  </si>
  <si>
    <t xml:space="preserve">Кронверкская ул.д.1/39 </t>
  </si>
  <si>
    <t xml:space="preserve">Кронверкская ул.д.14 </t>
  </si>
  <si>
    <t xml:space="preserve">Кронверкская ул.д.15 </t>
  </si>
  <si>
    <t xml:space="preserve">Кронверкская ул.д.16 </t>
  </si>
  <si>
    <t xml:space="preserve">Кронверкская ул.д.17/1 </t>
  </si>
  <si>
    <t xml:space="preserve">Кронверкская ул.д.27 </t>
  </si>
  <si>
    <t xml:space="preserve">Кронверкская ул.д.3 </t>
  </si>
  <si>
    <t xml:space="preserve">Кронверкский пр.45 </t>
  </si>
  <si>
    <t xml:space="preserve">Кронверкский пр.47 </t>
  </si>
  <si>
    <t xml:space="preserve">Кронверкский пр.д. 23 </t>
  </si>
  <si>
    <t xml:space="preserve">Кронверкский пр.д. 27 </t>
  </si>
  <si>
    <t xml:space="preserve">Кронверкский пр.д.29 </t>
  </si>
  <si>
    <t xml:space="preserve">Кронверкский пр.д.33 </t>
  </si>
  <si>
    <t xml:space="preserve">Кронверкский пр.д.35 </t>
  </si>
  <si>
    <t xml:space="preserve">Кронверкский пр.д.51 </t>
  </si>
  <si>
    <t xml:space="preserve">Кропоткина ул. д.15 </t>
  </si>
  <si>
    <t xml:space="preserve">Кропоткина ул. д.17 </t>
  </si>
  <si>
    <t xml:space="preserve">Кропоткина ул. д.19\8 </t>
  </si>
  <si>
    <t xml:space="preserve">Кропоткина ул. д.5 </t>
  </si>
  <si>
    <t xml:space="preserve">Кропоткина ул. д.7 </t>
  </si>
  <si>
    <t xml:space="preserve">Куйбышева ул. д.1/5 </t>
  </si>
  <si>
    <t xml:space="preserve">Куйбышева ул. д.31 </t>
  </si>
  <si>
    <t xml:space="preserve">Куйбышева ул. д.9/8 </t>
  </si>
  <si>
    <t xml:space="preserve">Куйбышева ул.д. 3 </t>
  </si>
  <si>
    <t xml:space="preserve">Куйбышева ул.д. 5 </t>
  </si>
  <si>
    <t xml:space="preserve">Куйбышева ул.д. 7 </t>
  </si>
  <si>
    <t xml:space="preserve">Куйбышева ул.д.10 </t>
  </si>
  <si>
    <t xml:space="preserve">Куйбышева ул.д.12 </t>
  </si>
  <si>
    <t xml:space="preserve">Куйбышева ул.д.14 </t>
  </si>
  <si>
    <t xml:space="preserve">Куйбышева ул.д.15 </t>
  </si>
  <si>
    <t xml:space="preserve">Куйбышева ул.д.19 </t>
  </si>
  <si>
    <t xml:space="preserve">Куйбышева ул.д.20 </t>
  </si>
  <si>
    <t xml:space="preserve">Куйбышева ул.д.21 </t>
  </si>
  <si>
    <t xml:space="preserve">Куйбышева ул.д.22 </t>
  </si>
  <si>
    <t xml:space="preserve">Куйбышева ул.д.23 </t>
  </si>
  <si>
    <t xml:space="preserve">Куйбышева ул.д.24 </t>
  </si>
  <si>
    <t xml:space="preserve">Куйбышева ул.д.27 </t>
  </si>
  <si>
    <t xml:space="preserve">Куйбышева ул.д.28 </t>
  </si>
  <si>
    <t xml:space="preserve">Куйбышева ул.д.29 </t>
  </si>
  <si>
    <t xml:space="preserve">Куйбышева ул.д.30 </t>
  </si>
  <si>
    <t xml:space="preserve">Куйбышева ул.д.32 </t>
  </si>
  <si>
    <t xml:space="preserve">Куйбышева ул.д.33/8 </t>
  </si>
  <si>
    <t xml:space="preserve">Куйбышева ул.д.34 </t>
  </si>
  <si>
    <t xml:space="preserve">Куйбышева ул.д.36 </t>
  </si>
  <si>
    <t xml:space="preserve">Куйбышева ул.д.38-40 </t>
  </si>
  <si>
    <t xml:space="preserve">Куйбышева ул.д.6 </t>
  </si>
  <si>
    <t xml:space="preserve">Куйбышева ул.д.8 </t>
  </si>
  <si>
    <t xml:space="preserve">Л.Толстого 1/3 </t>
  </si>
  <si>
    <t xml:space="preserve">Л.Толстого ул. д.4 </t>
  </si>
  <si>
    <t xml:space="preserve">Л.Толстого ул. д.5  </t>
  </si>
  <si>
    <t xml:space="preserve">Ленина ул. д.10 </t>
  </si>
  <si>
    <t xml:space="preserve">Ленина ул. д.11/64 </t>
  </si>
  <si>
    <t xml:space="preserve">Ленина ул. д.12/36 </t>
  </si>
  <si>
    <t xml:space="preserve">Ленина ул. д.13 </t>
  </si>
  <si>
    <t xml:space="preserve">Ленина ул. д.14/33 </t>
  </si>
  <si>
    <t xml:space="preserve">Ленина ул. д.19 </t>
  </si>
  <si>
    <t xml:space="preserve">Ленина ул. д.25 </t>
  </si>
  <si>
    <t xml:space="preserve">Ленина ул. д.27 </t>
  </si>
  <si>
    <t xml:space="preserve">Ленина ул. д.29 </t>
  </si>
  <si>
    <t xml:space="preserve">Ленина ул. д.31 </t>
  </si>
  <si>
    <t xml:space="preserve">Ленина ул. д.33 </t>
  </si>
  <si>
    <t xml:space="preserve">Ленина ул. д.35 </t>
  </si>
  <si>
    <t xml:space="preserve">Ленина ул. д.37 </t>
  </si>
  <si>
    <t xml:space="preserve">Ленина ул. д.39 </t>
  </si>
  <si>
    <t xml:space="preserve">Ленина ул. д.41 </t>
  </si>
  <si>
    <t xml:space="preserve">Ленина ул. д.8 </t>
  </si>
  <si>
    <t xml:space="preserve">Литераторов ул. д. 17 </t>
  </si>
  <si>
    <t xml:space="preserve">Литераторов ул.д.15 </t>
  </si>
  <si>
    <t xml:space="preserve">М.Монетная ул.д. 7 </t>
  </si>
  <si>
    <t xml:space="preserve">М.Посадская ул. д.19 </t>
  </si>
  <si>
    <t xml:space="preserve">М.Посадская ул. д.21 </t>
  </si>
  <si>
    <t xml:space="preserve">М.Посадская ул. д.25/4 </t>
  </si>
  <si>
    <t xml:space="preserve">М.Посадская ул. д.4 </t>
  </si>
  <si>
    <t xml:space="preserve">М.Посадская ул.д. 23 </t>
  </si>
  <si>
    <t xml:space="preserve">М.Посадская ул.д.12 </t>
  </si>
  <si>
    <t xml:space="preserve">М.Посадская ул.д.14 </t>
  </si>
  <si>
    <t xml:space="preserve">М.Посадская ул.д.16 </t>
  </si>
  <si>
    <t xml:space="preserve">М.Посадская ул.д.20 </t>
  </si>
  <si>
    <t xml:space="preserve">М.Посадская ул.д.6 </t>
  </si>
  <si>
    <t xml:space="preserve">М.Посадская ул.д.7/4 </t>
  </si>
  <si>
    <t xml:space="preserve">М.Посадская ул.д.8 </t>
  </si>
  <si>
    <t xml:space="preserve">М.Пушкарская ул. д.20/4 </t>
  </si>
  <si>
    <t xml:space="preserve">М.Пушкарская ул. д.22-24 </t>
  </si>
  <si>
    <t xml:space="preserve">М.Пушкарская ул. д.26 </t>
  </si>
  <si>
    <t xml:space="preserve">М.Пушкарская ул. д.28 </t>
  </si>
  <si>
    <t xml:space="preserve">М.Пушкарская ул. д.30 </t>
  </si>
  <si>
    <t xml:space="preserve">М.Пушкарская ул. д.32 </t>
  </si>
  <si>
    <t xml:space="preserve">М.Пушкарская ул. д.34 </t>
  </si>
  <si>
    <t xml:space="preserve">М.Пушкарская ул.д.4-6  </t>
  </si>
  <si>
    <t xml:space="preserve">Малый пр.д.70/18 </t>
  </si>
  <si>
    <t xml:space="preserve">Малый пр.д.72 </t>
  </si>
  <si>
    <t xml:space="preserve">Малый пр.д.74 </t>
  </si>
  <si>
    <t xml:space="preserve">Малый пр.д.82 </t>
  </si>
  <si>
    <t xml:space="preserve">Малый пр.д.84/86 </t>
  </si>
  <si>
    <t xml:space="preserve">Маркина ул.д.7 </t>
  </si>
  <si>
    <t>Матвеевский пер.д.2 в</t>
  </si>
  <si>
    <t xml:space="preserve">Мира ул. д.1/9 </t>
  </si>
  <si>
    <t xml:space="preserve">Мира ул. д.25 </t>
  </si>
  <si>
    <t xml:space="preserve">Мира ул. д.28 </t>
  </si>
  <si>
    <t xml:space="preserve">Мира ул. д.29 </t>
  </si>
  <si>
    <t xml:space="preserve">Мира ул. д.31 </t>
  </si>
  <si>
    <t xml:space="preserve">Мира ул. д.32 </t>
  </si>
  <si>
    <t xml:space="preserve">Мира ул. д.35 </t>
  </si>
  <si>
    <t xml:space="preserve">Мира ул.д. 23 </t>
  </si>
  <si>
    <t xml:space="preserve">Мира ул.д. 24 </t>
  </si>
  <si>
    <t>Мира ул.д.2/11</t>
  </si>
  <si>
    <t xml:space="preserve">Мира ул.д.6 </t>
  </si>
  <si>
    <t xml:space="preserve">Мира ул.д.7 </t>
  </si>
  <si>
    <t xml:space="preserve">Мира ул.д.9 </t>
  </si>
  <si>
    <t xml:space="preserve">Мичуринская ул.д.11/18 </t>
  </si>
  <si>
    <t xml:space="preserve">Мичуринская ул.д.12 </t>
  </si>
  <si>
    <t xml:space="preserve">Мичуринская ул.д.13 </t>
  </si>
  <si>
    <t xml:space="preserve">Мичуринская ул.д.21/11 </t>
  </si>
  <si>
    <t xml:space="preserve">Мичуринская ул.д.7 </t>
  </si>
  <si>
    <t xml:space="preserve">Мичуринская ул.д.9/11 </t>
  </si>
  <si>
    <t xml:space="preserve">н.р. Карповки д.16 </t>
  </si>
  <si>
    <t>Стоимость по видам выполненных работ (руб.)</t>
  </si>
  <si>
    <t xml:space="preserve">Ординарная ул. д.10 </t>
  </si>
  <si>
    <t xml:space="preserve">Ординарная ул. д.12 </t>
  </si>
  <si>
    <t xml:space="preserve">Ординарная ул. д.3 </t>
  </si>
  <si>
    <t xml:space="preserve">Ординарная ул. д.3 а </t>
  </si>
  <si>
    <t xml:space="preserve">Ординарная ул. д.5 </t>
  </si>
  <si>
    <t xml:space="preserve">Ординарная ул. д.6 </t>
  </si>
  <si>
    <t xml:space="preserve">Ординарная ул. д.8 </t>
  </si>
  <si>
    <t xml:space="preserve">Ординарная ул.д.18 </t>
  </si>
  <si>
    <t xml:space="preserve">Ординарная ул.д.19 </t>
  </si>
  <si>
    <t xml:space="preserve">Ординарная ул.д.20 </t>
  </si>
  <si>
    <t xml:space="preserve">Ординарная ул.д.21 </t>
  </si>
  <si>
    <t xml:space="preserve">Ординарная ул.д.7 </t>
  </si>
  <si>
    <t xml:space="preserve">Петровская наб. д.2/2 </t>
  </si>
  <si>
    <t xml:space="preserve">Петроградская наб. д.26-28 </t>
  </si>
  <si>
    <t xml:space="preserve">Б.Монетная ул.д.11 </t>
  </si>
  <si>
    <t xml:space="preserve">Б.Монетная ул.д.18 </t>
  </si>
  <si>
    <t xml:space="preserve"> ремонт кровли подрядным способом</t>
  </si>
  <si>
    <t xml:space="preserve"> ремонт кровли хозяйственным способом</t>
  </si>
  <si>
    <t xml:space="preserve"> ремонт и окраска фасада</t>
  </si>
  <si>
    <t xml:space="preserve"> ремонт лестничных клеток</t>
  </si>
  <si>
    <t xml:space="preserve"> косметический ремонт квартир (после протечек, пожара. умерших)</t>
  </si>
  <si>
    <t xml:space="preserve"> ремонт и замена дверей</t>
  </si>
  <si>
    <t xml:space="preserve"> ремонт и замена окон</t>
  </si>
  <si>
    <t>антисептирование</t>
  </si>
  <si>
    <t>ремонт ГРЩ ВУ, ВРУ, ЭЩ и т.д</t>
  </si>
  <si>
    <t>замена и ремонт аппаратов защиты, замена установочной арматуры</t>
  </si>
  <si>
    <t>замена и ремонт электропроводки</t>
  </si>
  <si>
    <t xml:space="preserve"> ремонт и замена арматуры инженерных сетей</t>
  </si>
  <si>
    <t xml:space="preserve"> замена отопительных приборов</t>
  </si>
  <si>
    <t xml:space="preserve"> ремонт трубопроводов</t>
  </si>
  <si>
    <t xml:space="preserve"> ремонт дворовых покрытий</t>
  </si>
  <si>
    <t xml:space="preserve"> ремонт балконов, козырьков над входом</t>
  </si>
  <si>
    <t>ремонт и замена отдельных участков полов</t>
  </si>
  <si>
    <t xml:space="preserve"> восстановление водосточных </t>
  </si>
  <si>
    <t xml:space="preserve">Плуталова ул.д.10 </t>
  </si>
  <si>
    <t xml:space="preserve">Плуталова ул.д.18 </t>
  </si>
  <si>
    <t xml:space="preserve">Подковырова ул. д.10 </t>
  </si>
  <si>
    <t xml:space="preserve">Подковырова ул. д.11-13 </t>
  </si>
  <si>
    <t xml:space="preserve">Подковырова ул. д.14 </t>
  </si>
  <si>
    <t xml:space="preserve">Подковырова ул. д.20 </t>
  </si>
  <si>
    <t xml:space="preserve">Подковырова ул. д.22 </t>
  </si>
  <si>
    <t xml:space="preserve">Подковырова ул. д.25 </t>
  </si>
  <si>
    <t xml:space="preserve">Подковырова ул. д.31 </t>
  </si>
  <si>
    <t xml:space="preserve">Подковырова ул. д.33 </t>
  </si>
  <si>
    <t xml:space="preserve">Подковырова ул. д.43 </t>
  </si>
  <si>
    <t xml:space="preserve">Подковырова ул. д.7 </t>
  </si>
  <si>
    <t xml:space="preserve">Подковырова ул. д.8 </t>
  </si>
  <si>
    <t xml:space="preserve">Подковырова ул. д.9 </t>
  </si>
  <si>
    <t xml:space="preserve">Подковырова ул.д. 4 </t>
  </si>
  <si>
    <t xml:space="preserve">Подковыроваул. д.15-17 </t>
  </si>
  <si>
    <t xml:space="preserve">Подрезова ул. д.10 </t>
  </si>
  <si>
    <t xml:space="preserve">Подрезова ул. д.12 </t>
  </si>
  <si>
    <t xml:space="preserve">Подрезова ул. д.14/69 </t>
  </si>
  <si>
    <t xml:space="preserve">Подрезова ул. д.16 </t>
  </si>
  <si>
    <t xml:space="preserve">Подрезова ул. д.20 </t>
  </si>
  <si>
    <t xml:space="preserve">Подрезова ул. д.26 </t>
  </si>
  <si>
    <t xml:space="preserve">Подрезова ул. д.4 </t>
  </si>
  <si>
    <t xml:space="preserve">Подрезова ул. д.5 </t>
  </si>
  <si>
    <t xml:space="preserve">Подрезова ул. д.6 </t>
  </si>
  <si>
    <t xml:space="preserve">Подрезова ул. д.7 </t>
  </si>
  <si>
    <t xml:space="preserve">Подрезова ул.д.17/76 </t>
  </si>
  <si>
    <t xml:space="preserve">Полозова ул. д.10 </t>
  </si>
  <si>
    <t xml:space="preserve">Полозова ул. д.11 </t>
  </si>
  <si>
    <t xml:space="preserve">Полозова ул. д.12 </t>
  </si>
  <si>
    <t xml:space="preserve">Полозова ул. д.13/63 </t>
  </si>
  <si>
    <t xml:space="preserve">Полозова ул. д.14 </t>
  </si>
  <si>
    <t xml:space="preserve">Полозова ул. д.17/2 </t>
  </si>
  <si>
    <t xml:space="preserve">Полозова ул. д.21 </t>
  </si>
  <si>
    <t xml:space="preserve">Полозова ул. д.23 </t>
  </si>
  <si>
    <t xml:space="preserve">Полозова ул. д.3/8 </t>
  </si>
  <si>
    <t xml:space="preserve">Полозова ул. д.4 </t>
  </si>
  <si>
    <t xml:space="preserve">Полозова ул. д.5 </t>
  </si>
  <si>
    <t xml:space="preserve">Полозова ул. д.6/17 </t>
  </si>
  <si>
    <t xml:space="preserve">Полозова ул. д.7 </t>
  </si>
  <si>
    <t xml:space="preserve">Полозова ул. д.8 </t>
  </si>
  <si>
    <t xml:space="preserve">Полозова ул. д.9 </t>
  </si>
  <si>
    <t xml:space="preserve">Проф. Попова ул.,д.12  </t>
  </si>
  <si>
    <t xml:space="preserve">Рентгена ул. д.13 </t>
  </si>
  <si>
    <t xml:space="preserve">Рентгена ул. д.15/31 </t>
  </si>
  <si>
    <t xml:space="preserve">Рентгена ул. д.23 </t>
  </si>
  <si>
    <t xml:space="preserve">Рентгена ул. д.4 </t>
  </si>
  <si>
    <t xml:space="preserve">Рентгена ул.д. 6 </t>
  </si>
  <si>
    <t xml:space="preserve">Рентгена ул.д.11 </t>
  </si>
  <si>
    <t xml:space="preserve">Саблинская ул.д.13/15 </t>
  </si>
  <si>
    <t xml:space="preserve">Саблинская ул.д.3 </t>
  </si>
  <si>
    <t xml:space="preserve">Саблинская ул.д.5/21 </t>
  </si>
  <si>
    <t xml:space="preserve">Сытнинская ул. (пл.), д.3 </t>
  </si>
  <si>
    <t xml:space="preserve">Сытнинская ул. д.12 </t>
  </si>
  <si>
    <t xml:space="preserve">Сытнинская ул. д.14 </t>
  </si>
  <si>
    <t xml:space="preserve">Сытнинская ул. д.16 </t>
  </si>
  <si>
    <t xml:space="preserve">Троицкая пл. д.1/2 </t>
  </si>
  <si>
    <t xml:space="preserve">Чапаева ул.д.11/4 </t>
  </si>
  <si>
    <t xml:space="preserve">Чапаева ул.д.19 </t>
  </si>
  <si>
    <t xml:space="preserve">Чапаева ул.д.21 </t>
  </si>
  <si>
    <t xml:space="preserve">Чапаева ул.д.23 </t>
  </si>
  <si>
    <t xml:space="preserve">Чапаева ул.д.2а </t>
  </si>
  <si>
    <t xml:space="preserve">Чапыгина ул. д. 5 </t>
  </si>
  <si>
    <t xml:space="preserve">Чапыгина ул.д.11 </t>
  </si>
  <si>
    <t>Большой пр., д. 31</t>
  </si>
  <si>
    <t xml:space="preserve">Аптекарский пр..д.7а </t>
  </si>
  <si>
    <t xml:space="preserve">Б Монетная ул. д.19а </t>
  </si>
  <si>
    <t xml:space="preserve">Б.Монетная ул.д.21/9 </t>
  </si>
  <si>
    <t xml:space="preserve">Б.Монетная ул.д.22 </t>
  </si>
  <si>
    <t xml:space="preserve">Б.Монетная ул.д.23 </t>
  </si>
  <si>
    <t xml:space="preserve">Б.Монетная ул.д.24 </t>
  </si>
  <si>
    <t xml:space="preserve">Б.Монетная ул.д.25 </t>
  </si>
  <si>
    <t xml:space="preserve">Б.Монетная ул.д.29 </t>
  </si>
  <si>
    <t xml:space="preserve">Б.Монетная ул.д.3 </t>
  </si>
  <si>
    <t xml:space="preserve">Б.Монетная ул.д.30 </t>
  </si>
  <si>
    <t xml:space="preserve">Б.Монетная ул.д.31-33 </t>
  </si>
  <si>
    <t xml:space="preserve">Б.Монетная ул.д.32 </t>
  </si>
  <si>
    <t xml:space="preserve">Б.Монетная ул.д.4 </t>
  </si>
  <si>
    <t xml:space="preserve">Б.Монетная ул.д.6 </t>
  </si>
  <si>
    <t xml:space="preserve">Б.Монетная ул.д.7 </t>
  </si>
  <si>
    <t xml:space="preserve">Б.Монетная ул.д.9 </t>
  </si>
  <si>
    <t xml:space="preserve">Б.Посадская ул.д.1/10 </t>
  </si>
  <si>
    <t xml:space="preserve">Б.Посадская ул.д.10 </t>
  </si>
  <si>
    <t xml:space="preserve">Б.Посадская ул.д.18/7 </t>
  </si>
  <si>
    <t xml:space="preserve">Б.Посадская ул.д.4 </t>
  </si>
  <si>
    <t xml:space="preserve">Б.Посадская ул.д.9/5 </t>
  </si>
  <si>
    <t xml:space="preserve">Б.Пушкарская ул. д.23 </t>
  </si>
  <si>
    <t xml:space="preserve">Б.Пушкарская ул. д.25 </t>
  </si>
  <si>
    <t xml:space="preserve">Б.Пушкарская ул. д.27 </t>
  </si>
  <si>
    <t xml:space="preserve">Б.Пушкарская ул. д.29 </t>
  </si>
  <si>
    <t xml:space="preserve">Б.Пушкарская ул. д.31 </t>
  </si>
  <si>
    <t xml:space="preserve">Б.Пушкарская ул.д. 58 </t>
  </si>
  <si>
    <t xml:space="preserve">Петропавловская ул..д.8 </t>
  </si>
  <si>
    <t xml:space="preserve">Петропавловская ул.д.6 </t>
  </si>
  <si>
    <t xml:space="preserve">Плуталова ул. д.13 </t>
  </si>
  <si>
    <t xml:space="preserve">Плуталова ул. д.15 </t>
  </si>
  <si>
    <t xml:space="preserve">Плуталова ул. д.20 </t>
  </si>
  <si>
    <t xml:space="preserve">Плуталова ул. д.22 </t>
  </si>
  <si>
    <t xml:space="preserve">Плуталова ул.д. 8 </t>
  </si>
  <si>
    <t xml:space="preserve">Каменноостровкий пр.д.55 </t>
  </si>
  <si>
    <t xml:space="preserve">н.р. Карповки д.20 </t>
  </si>
  <si>
    <t xml:space="preserve">Н.р.Карповки д.25 </t>
  </si>
  <si>
    <t xml:space="preserve">Н.р.Карповки д.21 </t>
  </si>
  <si>
    <t xml:space="preserve">Н.р.Карповки д.19 </t>
  </si>
  <si>
    <t xml:space="preserve">Н.р.Карповки д.13 </t>
  </si>
  <si>
    <t xml:space="preserve">Кропоткина ул. д.11 </t>
  </si>
  <si>
    <t xml:space="preserve">Каменноостровский пр.д. 44в </t>
  </si>
  <si>
    <t xml:space="preserve">Каменноостровский пр.д 12 </t>
  </si>
  <si>
    <t xml:space="preserve">Каменноостровский пр.19/13 </t>
  </si>
  <si>
    <t xml:space="preserve">Каменноостровский пр. д.9/2 </t>
  </si>
  <si>
    <t xml:space="preserve">Каменноостровский пр. д.44б </t>
  </si>
  <si>
    <t xml:space="preserve">Каменноостровский пр. д.44/16 </t>
  </si>
  <si>
    <t xml:space="preserve">Каменноостровский пр. д.42б </t>
  </si>
  <si>
    <t xml:space="preserve">Каменноостровский пр. д.17 </t>
  </si>
  <si>
    <t xml:space="preserve">Каменноостровский пр. д.13/2 </t>
  </si>
  <si>
    <t xml:space="preserve">Вс.Вишневскогоул.д.5 </t>
  </si>
  <si>
    <t xml:space="preserve">Вс.Вишневского ул.д.8 </t>
  </si>
  <si>
    <t xml:space="preserve">Вс.Вишневского ул.д.7 </t>
  </si>
  <si>
    <t xml:space="preserve">Вс.Вишневского ул.д.3 </t>
  </si>
  <si>
    <t xml:space="preserve">Вс.Вишневского ул.д.2/12 </t>
  </si>
  <si>
    <t xml:space="preserve">Вс.Вишневского ул.д.10 </t>
  </si>
  <si>
    <t xml:space="preserve">Вс.Вишневского ул.д.1 </t>
  </si>
  <si>
    <t xml:space="preserve">Воскова ул.д. 9 </t>
  </si>
  <si>
    <t xml:space="preserve">Воскова ул.д.8/5 </t>
  </si>
  <si>
    <t xml:space="preserve">Воскова ул.д.6 </t>
  </si>
  <si>
    <t xml:space="preserve">Воскова ул.д.4 </t>
  </si>
  <si>
    <t xml:space="preserve">Воскова ул.д.2 </t>
  </si>
  <si>
    <t xml:space="preserve">Воскова ул.д.16 </t>
  </si>
  <si>
    <t xml:space="preserve">Воскова ул.д.12 </t>
  </si>
  <si>
    <t xml:space="preserve">Воскова ул.д.11 </t>
  </si>
  <si>
    <t xml:space="preserve">Воскова ул. д.31/20 </t>
  </si>
  <si>
    <t xml:space="preserve">Воскова ул. д.27/18 </t>
  </si>
  <si>
    <t xml:space="preserve">Воскова ул. д.26 </t>
  </si>
  <si>
    <t xml:space="preserve">Воскова ул. д.22 </t>
  </si>
  <si>
    <t xml:space="preserve">Воскова ул. д.20 </t>
  </si>
  <si>
    <t xml:space="preserve">Воскова ул. д.18/10 </t>
  </si>
  <si>
    <t xml:space="preserve">Воскова ул. д.15-17  </t>
  </si>
  <si>
    <t xml:space="preserve">Большой пр.д.98 </t>
  </si>
  <si>
    <t xml:space="preserve">Большой пр.д.94 </t>
  </si>
  <si>
    <t xml:space="preserve">Б.Пушкарская ул.д. 62 </t>
  </si>
  <si>
    <t xml:space="preserve">Б.Пушкарская ул.д.17 </t>
  </si>
  <si>
    <t xml:space="preserve">Б.Пушкарская ул.д.19 </t>
  </si>
  <si>
    <t xml:space="preserve">Большой пр.д.92 </t>
  </si>
  <si>
    <t xml:space="preserve">Большой пр.д.90 </t>
  </si>
  <si>
    <t xml:space="preserve">Большой пр.д.88 </t>
  </si>
  <si>
    <t xml:space="preserve">Большой пр.д.86 </t>
  </si>
  <si>
    <t xml:space="preserve">Большой пр.д.82 </t>
  </si>
  <si>
    <t xml:space="preserve">Большой пр.д.80 </t>
  </si>
  <si>
    <t xml:space="preserve">Большой пр.д.76/78 </t>
  </si>
  <si>
    <t xml:space="preserve">Большой пр.д.69 </t>
  </si>
  <si>
    <t xml:space="preserve">Большой пр.д.67 </t>
  </si>
  <si>
    <t xml:space="preserve">Большой пр.д.65 </t>
  </si>
  <si>
    <t xml:space="preserve">Большой пр.д.63 </t>
  </si>
  <si>
    <t xml:space="preserve">Большой пр.д.61/3 </t>
  </si>
  <si>
    <t xml:space="preserve">Большой пр.д.57/1 </t>
  </si>
  <si>
    <t xml:space="preserve">Большой пр.д.55/6 </t>
  </si>
  <si>
    <t xml:space="preserve">Большой пр.д.53 </t>
  </si>
  <si>
    <t xml:space="preserve">Большой пр.д.51/9 </t>
  </si>
  <si>
    <t xml:space="preserve">Большой пр.д.49/18 </t>
  </si>
  <si>
    <t xml:space="preserve">Большой пр.д.47 </t>
  </si>
  <si>
    <t xml:space="preserve">Большой пр.д.45 </t>
  </si>
  <si>
    <t xml:space="preserve">Большой пр.д.43 </t>
  </si>
  <si>
    <t>Большой пр.д.41</t>
  </si>
  <si>
    <t xml:space="preserve">Большой пр.д.39 </t>
  </si>
  <si>
    <t xml:space="preserve">Большой пр.д.33а </t>
  </si>
  <si>
    <t xml:space="preserve">Большой пр.д.33 </t>
  </si>
  <si>
    <t xml:space="preserve">Большой пр.д.106 </t>
  </si>
  <si>
    <t xml:space="preserve">Большой пр.д.104 </t>
  </si>
  <si>
    <t xml:space="preserve">Большой пр.д.102 </t>
  </si>
  <si>
    <t xml:space="preserve">Бармалеева ул.д.33 </t>
  </si>
  <si>
    <t xml:space="preserve">Бармалеева ул.д.21 </t>
  </si>
  <si>
    <t xml:space="preserve">Бармалеева ул. д.9 </t>
  </si>
  <si>
    <t xml:space="preserve">Бармалеева ул. д.7 </t>
  </si>
  <si>
    <t xml:space="preserve">Бармалеева ул. д.28 </t>
  </si>
  <si>
    <t xml:space="preserve">Бармалеева ул. д.26 </t>
  </si>
  <si>
    <t xml:space="preserve">Бармалеева ул. д.24 </t>
  </si>
  <si>
    <t xml:space="preserve">Бармалеева ул. д.20 </t>
  </si>
  <si>
    <t xml:space="preserve">Бармалеева ул. д.17/70 </t>
  </si>
  <si>
    <t xml:space="preserve">Бармалеева ул. д.15/69 </t>
  </si>
  <si>
    <t xml:space="preserve">Бармалеева ул. д.12 </t>
  </si>
  <si>
    <t xml:space="preserve">Бармалеева ул. д.10 </t>
  </si>
  <si>
    <t xml:space="preserve">Б.Пушкарская ул.д.60 </t>
  </si>
  <si>
    <t xml:space="preserve">Б.Пушкарская ул.д.56 </t>
  </si>
  <si>
    <t xml:space="preserve">Б.Пушкарская ул.д.54  </t>
  </si>
  <si>
    <t xml:space="preserve">Б.Пушкарская ул.д.52 </t>
  </si>
  <si>
    <t xml:space="preserve">Б.Пушкарская ул.д.50 </t>
  </si>
  <si>
    <t xml:space="preserve">Б.Пушкарская ул.д.47 </t>
  </si>
  <si>
    <t xml:space="preserve">Б.Пушкарская ул.д.46 </t>
  </si>
  <si>
    <t xml:space="preserve">Б.Пушкарская ул.д.45 </t>
  </si>
  <si>
    <t xml:space="preserve">Б.Пушкарская ул.д.21 </t>
  </si>
  <si>
    <t xml:space="preserve">Б.Пушкарская ул.д.24 </t>
  </si>
  <si>
    <t xml:space="preserve">Б.Пушкарская ул.д.26 </t>
  </si>
  <si>
    <t xml:space="preserve">Б.Пушкарская ул.д.28/2 </t>
  </si>
  <si>
    <t xml:space="preserve">Б.Пушкарская ул.д.30 </t>
  </si>
  <si>
    <t xml:space="preserve">Б.Пушкарская ул.д.32 </t>
  </si>
  <si>
    <t xml:space="preserve">Б.Пушкарская ул.д.34 </t>
  </si>
  <si>
    <t xml:space="preserve">Б.Пушкарская ул.д.38 </t>
  </si>
  <si>
    <t xml:space="preserve">Б.Пушкарская ул.д.41 </t>
  </si>
  <si>
    <t xml:space="preserve">Б.Пушкарская ул.д.42/16 </t>
  </si>
  <si>
    <t xml:space="preserve">Б.Пушкарская ул.д.43 </t>
  </si>
  <si>
    <t xml:space="preserve">Графтио ул.д. 4 </t>
  </si>
  <si>
    <t xml:space="preserve">Графтио ул.д.6 </t>
  </si>
  <si>
    <t xml:space="preserve">Дивенская ул.д.14 </t>
  </si>
  <si>
    <t xml:space="preserve">Дивенская ул.д.18/16 </t>
  </si>
  <si>
    <t xml:space="preserve">Дивенская ул.д.9/3 </t>
  </si>
  <si>
    <t>ремонт отмосток</t>
  </si>
  <si>
    <t>Нормализация температурно-влажностного режима</t>
  </si>
  <si>
    <t>Б.Монетная ул.д.35\15</t>
  </si>
  <si>
    <t>Б.Пушкарская ул.д. 40</t>
  </si>
  <si>
    <t>Начисление по текущему ремонту на 2013 год</t>
  </si>
  <si>
    <t>-</t>
  </si>
  <si>
    <t>Выполнение текущего ремонта за 9 месяцев 2013 года</t>
  </si>
  <si>
    <t>аварийно-восстановительный ремонт (обследования)</t>
  </si>
  <si>
    <t>Начальник ПТО</t>
  </si>
  <si>
    <t>В.С.Житенева</t>
  </si>
  <si>
    <t>Алексеева Ю.К.</t>
  </si>
  <si>
    <t>Тел. 334-06-75</t>
  </si>
  <si>
    <t>Выполнение текущего ремонта за 9 мес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</si>
</sst>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0" fillId="0" borderId="10" xfId="45" applyNumberFormat="1" applyFont="1" applyFill="1" applyBorder="1" applyAlignment="1" applyProtection="1">
      <alignment horizontal="center" vertical="center" wrapText="1"/>
    </xf>
    <xf numFmtId="0" fontId="19" fillId="0" borderId="11" xfId="45" applyFont="1" applyFill="1" applyBorder="1" applyAlignment="1">
      <alignment horizontal="center" vertical="center" wrapText="1"/>
    </xf>
    <xf numFmtId="4" fontId="20" fillId="0" borderId="11" xfId="45" applyNumberFormat="1" applyFont="1" applyFill="1" applyBorder="1" applyAlignment="1" applyProtection="1">
      <alignment horizontal="center" vertical="center" wrapText="1"/>
    </xf>
    <xf numFmtId="3" fontId="20" fillId="0" borderId="11" xfId="45" applyNumberFormat="1" applyFont="1" applyFill="1" applyBorder="1" applyAlignment="1" applyProtection="1">
      <alignment horizontal="center" vertical="center" wrapText="1"/>
    </xf>
    <xf numFmtId="1" fontId="20" fillId="0" borderId="11" xfId="45" applyNumberFormat="1" applyFont="1" applyFill="1" applyBorder="1" applyAlignment="1" applyProtection="1">
      <alignment horizontal="center" vertical="center" wrapText="1"/>
    </xf>
    <xf numFmtId="0" fontId="20" fillId="0" borderId="13" xfId="4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24" borderId="0" xfId="0" applyFill="1"/>
    <xf numFmtId="0" fontId="22" fillId="0" borderId="0" xfId="0" applyFont="1" applyFill="1"/>
    <xf numFmtId="0" fontId="24" fillId="0" borderId="10" xfId="47" applyFont="1" applyFill="1" applyBorder="1"/>
    <xf numFmtId="0" fontId="24" fillId="0" borderId="10" xfId="47" applyFont="1" applyFill="1" applyBorder="1" applyAlignment="1">
      <alignment horizontal="left"/>
    </xf>
    <xf numFmtId="4" fontId="20" fillId="24" borderId="11" xfId="45" applyNumberFormat="1" applyFont="1" applyFill="1" applyBorder="1" applyAlignment="1" applyProtection="1">
      <alignment horizontal="center" vertical="center" wrapText="1"/>
    </xf>
    <xf numFmtId="0" fontId="24" fillId="0" borderId="11" xfId="47" applyFont="1" applyFill="1" applyBorder="1" applyAlignment="1">
      <alignment horizontal="left"/>
    </xf>
    <xf numFmtId="0" fontId="21" fillId="0" borderId="10" xfId="47" applyFont="1" applyFill="1" applyBorder="1" applyAlignment="1">
      <alignment horizontal="left"/>
    </xf>
    <xf numFmtId="0" fontId="21" fillId="0" borderId="10" xfId="47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25" fillId="0" borderId="0" xfId="0" applyFont="1" applyAlignment="1"/>
    <xf numFmtId="0" fontId="26" fillId="0" borderId="0" xfId="0" applyFont="1"/>
    <xf numFmtId="0" fontId="23" fillId="0" borderId="14" xfId="45" applyNumberFormat="1" applyFont="1" applyFill="1" applyBorder="1" applyAlignment="1" applyProtection="1">
      <alignment horizontal="center" vertical="center" wrapText="1"/>
    </xf>
    <xf numFmtId="0" fontId="23" fillId="0" borderId="11" xfId="45" applyNumberFormat="1" applyFont="1" applyFill="1" applyBorder="1" applyAlignment="1" applyProtection="1">
      <alignment horizontal="center" vertical="center" wrapText="1"/>
    </xf>
    <xf numFmtId="0" fontId="24" fillId="0" borderId="11" xfId="47" applyFont="1" applyFill="1" applyBorder="1" applyAlignment="1">
      <alignment horizontal="center"/>
    </xf>
    <xf numFmtId="0" fontId="24" fillId="0" borderId="10" xfId="47" applyFont="1" applyFill="1" applyBorder="1" applyAlignment="1">
      <alignment horizontal="center"/>
    </xf>
    <xf numFmtId="0" fontId="21" fillId="0" borderId="10" xfId="47" applyFont="1" applyFill="1" applyBorder="1" applyAlignment="1">
      <alignment horizontal="center"/>
    </xf>
    <xf numFmtId="0" fontId="24" fillId="0" borderId="10" xfId="0" applyFont="1" applyFill="1" applyBorder="1"/>
    <xf numFmtId="0" fontId="24" fillId="0" borderId="12" xfId="0" applyFont="1" applyFill="1" applyBorder="1"/>
    <xf numFmtId="2" fontId="24" fillId="0" borderId="10" xfId="0" applyNumberFormat="1" applyFont="1" applyFill="1" applyBorder="1"/>
    <xf numFmtId="0" fontId="21" fillId="0" borderId="10" xfId="0" applyFont="1" applyFill="1" applyBorder="1"/>
    <xf numFmtId="0" fontId="21" fillId="0" borderId="12" xfId="0" applyFont="1" applyFill="1" applyBorder="1"/>
    <xf numFmtId="0" fontId="24" fillId="0" borderId="0" xfId="0" applyFont="1" applyFill="1"/>
    <xf numFmtId="0" fontId="27" fillId="0" borderId="10" xfId="0" applyFont="1" applyFill="1" applyBorder="1"/>
    <xf numFmtId="0" fontId="27" fillId="0" borderId="12" xfId="0" applyFont="1" applyFill="1" applyBorder="1"/>
    <xf numFmtId="4" fontId="24" fillId="0" borderId="10" xfId="47" applyNumberFormat="1" applyFont="1" applyFill="1" applyBorder="1" applyAlignment="1">
      <alignment horizontal="center"/>
    </xf>
    <xf numFmtId="0" fontId="24" fillId="24" borderId="10" xfId="47" applyFont="1" applyFill="1" applyBorder="1" applyAlignment="1">
      <alignment horizontal="left"/>
    </xf>
    <xf numFmtId="0" fontId="24" fillId="24" borderId="10" xfId="47" applyFont="1" applyFill="1" applyBorder="1" applyAlignment="1">
      <alignment horizontal="center"/>
    </xf>
    <xf numFmtId="0" fontId="24" fillId="24" borderId="10" xfId="0" applyFont="1" applyFill="1" applyBorder="1"/>
    <xf numFmtId="0" fontId="24" fillId="24" borderId="12" xfId="0" applyFont="1" applyFill="1" applyBorder="1"/>
    <xf numFmtId="0" fontId="23" fillId="0" borderId="15" xfId="45" applyNumberFormat="1" applyFont="1" applyFill="1" applyBorder="1" applyAlignment="1" applyProtection="1">
      <alignment vertical="center" wrapText="1"/>
    </xf>
    <xf numFmtId="0" fontId="23" fillId="0" borderId="10" xfId="45" applyNumberFormat="1" applyFont="1" applyFill="1" applyBorder="1" applyAlignment="1" applyProtection="1">
      <alignment vertical="center" wrapText="1"/>
    </xf>
    <xf numFmtId="0" fontId="27" fillId="0" borderId="10" xfId="47" applyFont="1" applyFill="1" applyBorder="1" applyAlignment="1">
      <alignment horizontal="left"/>
    </xf>
    <xf numFmtId="0" fontId="27" fillId="0" borderId="10" xfId="47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6" xfId="0" applyFont="1" applyFill="1" applyBorder="1"/>
    <xf numFmtId="0" fontId="0" fillId="0" borderId="17" xfId="0" applyFill="1" applyBorder="1"/>
    <xf numFmtId="0" fontId="27" fillId="0" borderId="10" xfId="47" applyFont="1" applyFill="1" applyBorder="1"/>
    <xf numFmtId="0" fontId="28" fillId="0" borderId="0" xfId="0" applyFont="1" applyFill="1"/>
    <xf numFmtId="0" fontId="24" fillId="24" borderId="10" xfId="47" applyFont="1" applyFill="1" applyBorder="1"/>
    <xf numFmtId="0" fontId="0" fillId="0" borderId="14" xfId="0" applyBorder="1" applyAlignment="1"/>
    <xf numFmtId="0" fontId="0" fillId="0" borderId="10" xfId="0" applyBorder="1" applyAlignment="1"/>
    <xf numFmtId="0" fontId="31" fillId="0" borderId="0" xfId="47" applyFont="1" applyFill="1" applyBorder="1" applyAlignment="1">
      <alignment horizontal="left"/>
    </xf>
    <xf numFmtId="0" fontId="29" fillId="0" borderId="0" xfId="0" applyFont="1"/>
    <xf numFmtId="0" fontId="0" fillId="0" borderId="14" xfId="0" applyFill="1" applyBorder="1" applyAlignment="1"/>
    <xf numFmtId="0" fontId="30" fillId="0" borderId="0" xfId="0" applyFont="1" applyAlignment="1">
      <alignment horizontal="center"/>
    </xf>
  </cellXfs>
  <cellStyles count="50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2" xfId="46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47"/>
    <cellStyle name="Обычный 2_15.02.2013" xfId="38"/>
    <cellStyle name="Обычный 3" xfId="1"/>
    <cellStyle name="Обычный 4" xfId="45"/>
    <cellStyle name="Обычный 5" xfId="48"/>
    <cellStyle name="Обычный 6" xfId="49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9"/>
  <sheetViews>
    <sheetView tabSelected="1" topLeftCell="A361" workbookViewId="0">
      <selection activeCell="C383" sqref="C383"/>
    </sheetView>
  </sheetViews>
  <sheetFormatPr defaultRowHeight="14.5" x14ac:dyDescent="0.35"/>
  <cols>
    <col min="1" max="1" width="28.453125" customWidth="1"/>
    <col min="2" max="2" width="19.7265625" customWidth="1"/>
    <col min="3" max="3" width="19" customWidth="1"/>
    <col min="7" max="7" width="9.1796875" style="7"/>
    <col min="17" max="17" width="9.1796875" customWidth="1"/>
  </cols>
  <sheetData>
    <row r="1" spans="1:24" ht="15" x14ac:dyDescent="0.25">
      <c r="F1" s="8"/>
    </row>
    <row r="2" spans="1:24" ht="15" x14ac:dyDescent="0.25">
      <c r="F2" s="8"/>
    </row>
    <row r="3" spans="1:24" x14ac:dyDescent="0.35">
      <c r="F3" s="8"/>
      <c r="U3" s="16"/>
      <c r="V3" s="16"/>
      <c r="W3" s="16"/>
      <c r="X3" s="17"/>
    </row>
    <row r="4" spans="1:24" x14ac:dyDescent="0.35">
      <c r="F4" s="8"/>
      <c r="U4" s="16"/>
      <c r="V4" s="16"/>
      <c r="W4" s="16"/>
      <c r="X4" s="17"/>
    </row>
    <row r="5" spans="1:24" x14ac:dyDescent="0.35">
      <c r="F5" s="8"/>
      <c r="U5" s="16"/>
      <c r="V5" s="16"/>
      <c r="W5" s="16"/>
      <c r="X5" s="17"/>
    </row>
    <row r="6" spans="1:24" ht="21" x14ac:dyDescent="0.5">
      <c r="F6" s="8"/>
      <c r="U6" s="18"/>
      <c r="V6" s="18"/>
      <c r="W6" s="18"/>
      <c r="X6" s="19"/>
    </row>
    <row r="7" spans="1:24" ht="15" x14ac:dyDescent="0.25">
      <c r="F7" s="8"/>
    </row>
    <row r="8" spans="1:24" ht="15" x14ac:dyDescent="0.25">
      <c r="F8" s="8"/>
    </row>
    <row r="9" spans="1:24" ht="33.75" customHeight="1" x14ac:dyDescent="0.45">
      <c r="A9" s="53" t="s">
        <v>395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4" ht="15" x14ac:dyDescent="0.25">
      <c r="F10" s="8"/>
    </row>
    <row r="11" spans="1:24" x14ac:dyDescent="0.35">
      <c r="A11" s="38"/>
      <c r="B11" s="20"/>
      <c r="C11" s="49"/>
      <c r="D11" s="48" t="s">
        <v>149</v>
      </c>
      <c r="E11" s="48"/>
      <c r="F11" s="48"/>
      <c r="G11" s="52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117" x14ac:dyDescent="0.35">
      <c r="A12" s="39" t="s">
        <v>0</v>
      </c>
      <c r="B12" s="21" t="s">
        <v>393</v>
      </c>
      <c r="C12" s="2" t="s">
        <v>401</v>
      </c>
      <c r="D12" s="3" t="s">
        <v>167</v>
      </c>
      <c r="E12" s="3" t="s">
        <v>166</v>
      </c>
      <c r="F12" s="12" t="s">
        <v>390</v>
      </c>
      <c r="G12" s="4" t="s">
        <v>168</v>
      </c>
      <c r="H12" s="4" t="s">
        <v>169</v>
      </c>
      <c r="I12" s="4" t="s">
        <v>170</v>
      </c>
      <c r="J12" s="4" t="s">
        <v>183</v>
      </c>
      <c r="K12" s="4" t="s">
        <v>171</v>
      </c>
      <c r="L12" s="5" t="s">
        <v>172</v>
      </c>
      <c r="M12" s="5" t="s">
        <v>389</v>
      </c>
      <c r="N12" s="5" t="s">
        <v>182</v>
      </c>
      <c r="O12" s="5" t="s">
        <v>181</v>
      </c>
      <c r="P12" s="5" t="s">
        <v>180</v>
      </c>
      <c r="Q12" s="5" t="s">
        <v>179</v>
      </c>
      <c r="R12" s="5" t="s">
        <v>178</v>
      </c>
      <c r="S12" s="5" t="s">
        <v>177</v>
      </c>
      <c r="T12" s="5" t="s">
        <v>176</v>
      </c>
      <c r="U12" s="5" t="s">
        <v>175</v>
      </c>
      <c r="V12" s="5" t="s">
        <v>174</v>
      </c>
      <c r="W12" s="6" t="s">
        <v>396</v>
      </c>
      <c r="X12" s="1" t="s">
        <v>173</v>
      </c>
    </row>
    <row r="13" spans="1:24" ht="15.75" customHeight="1" x14ac:dyDescent="0.35">
      <c r="A13" s="13" t="s">
        <v>248</v>
      </c>
      <c r="B13" s="22">
        <v>554250.23999999999</v>
      </c>
      <c r="C13" s="25">
        <f>D13+E13+G13+H13+I13+J13+K13+L13+N13+O13+P13+Q13+R13+S13+T13+U13+V13+W13+X13+F13</f>
        <v>53996.928999999996</v>
      </c>
      <c r="D13" s="25"/>
      <c r="E13" s="25"/>
      <c r="F13" s="25"/>
      <c r="G13" s="25">
        <v>872.34</v>
      </c>
      <c r="H13" s="25"/>
      <c r="I13" s="25"/>
      <c r="J13" s="25">
        <f>6453.27+865.55+6677</f>
        <v>13995.82</v>
      </c>
      <c r="K13" s="25">
        <v>376.47899999999998</v>
      </c>
      <c r="L13" s="25"/>
      <c r="M13" s="25"/>
      <c r="N13" s="25"/>
      <c r="O13" s="25"/>
      <c r="P13" s="25"/>
      <c r="Q13" s="25">
        <f>22084.99+4258.95</f>
        <v>26343.940000000002</v>
      </c>
      <c r="R13" s="25">
        <v>4353.5</v>
      </c>
      <c r="S13" s="25"/>
      <c r="T13" s="25"/>
      <c r="U13" s="25">
        <f>1527.07+629.28+2036.1</f>
        <v>4192.45</v>
      </c>
      <c r="V13" s="26">
        <f>1931.2+1931.2</f>
        <v>3862.4</v>
      </c>
      <c r="W13" s="25"/>
      <c r="X13" s="25"/>
    </row>
    <row r="14" spans="1:24" ht="15.75" customHeight="1" x14ac:dyDescent="0.35">
      <c r="A14" s="10" t="s">
        <v>4</v>
      </c>
      <c r="B14" s="23">
        <v>348305.47</v>
      </c>
      <c r="C14" s="25">
        <f t="shared" ref="C14:C77" si="0">D14+E14+G14+H14+I14+J14+K14+L14+N14+O14+P14+Q14+R14+S14+T14+U14+V14+W14+X14+F14</f>
        <v>189061.46</v>
      </c>
      <c r="D14" s="25"/>
      <c r="E14" s="25"/>
      <c r="F14" s="25"/>
      <c r="G14" s="25"/>
      <c r="H14" s="25"/>
      <c r="I14" s="25"/>
      <c r="J14" s="25">
        <v>2658.35</v>
      </c>
      <c r="K14" s="25"/>
      <c r="L14" s="25"/>
      <c r="M14" s="25"/>
      <c r="N14" s="25"/>
      <c r="O14" s="25"/>
      <c r="P14" s="25"/>
      <c r="Q14" s="25">
        <v>3735</v>
      </c>
      <c r="R14" s="25"/>
      <c r="S14" s="25">
        <v>346</v>
      </c>
      <c r="T14" s="25"/>
      <c r="U14" s="25"/>
      <c r="V14" s="26">
        <v>865.52</v>
      </c>
      <c r="W14" s="25"/>
      <c r="X14" s="25">
        <v>181456.59</v>
      </c>
    </row>
    <row r="15" spans="1:24" s="7" customFormat="1" ht="15.75" customHeight="1" x14ac:dyDescent="0.35">
      <c r="A15" s="10" t="s">
        <v>249</v>
      </c>
      <c r="B15" s="23">
        <v>61793.31</v>
      </c>
      <c r="C15" s="25">
        <f t="shared" si="0"/>
        <v>69640.34</v>
      </c>
      <c r="D15" s="25"/>
      <c r="E15" s="25"/>
      <c r="F15" s="25"/>
      <c r="G15" s="25"/>
      <c r="H15" s="25"/>
      <c r="I15" s="25"/>
      <c r="J15" s="25">
        <v>4874</v>
      </c>
      <c r="K15" s="25"/>
      <c r="L15" s="25"/>
      <c r="M15" s="25"/>
      <c r="N15" s="25"/>
      <c r="O15" s="25"/>
      <c r="P15" s="25"/>
      <c r="Q15" s="25"/>
      <c r="R15" s="25"/>
      <c r="S15" s="25">
        <v>689.7</v>
      </c>
      <c r="T15" s="25">
        <f>2652.83+4238.44</f>
        <v>6891.2699999999995</v>
      </c>
      <c r="U15" s="25">
        <v>1319.66</v>
      </c>
      <c r="V15" s="26">
        <v>865.52</v>
      </c>
      <c r="W15" s="25"/>
      <c r="X15" s="25">
        <v>55000.19</v>
      </c>
    </row>
    <row r="16" spans="1:24" s="46" customFormat="1" ht="15.75" customHeight="1" x14ac:dyDescent="0.35">
      <c r="A16" s="11" t="s">
        <v>250</v>
      </c>
      <c r="B16" s="23">
        <v>168564</v>
      </c>
      <c r="C16" s="25">
        <f t="shared" si="0"/>
        <v>3824.95</v>
      </c>
      <c r="D16" s="25"/>
      <c r="E16" s="25"/>
      <c r="F16" s="25"/>
      <c r="G16" s="25"/>
      <c r="H16" s="25"/>
      <c r="I16" s="25"/>
      <c r="J16" s="25"/>
      <c r="K16" s="25">
        <v>752.95</v>
      </c>
      <c r="L16" s="25"/>
      <c r="M16" s="25"/>
      <c r="N16" s="25"/>
      <c r="O16" s="25"/>
      <c r="P16" s="25"/>
      <c r="Q16" s="25">
        <v>2547</v>
      </c>
      <c r="R16" s="25"/>
      <c r="S16" s="25">
        <v>525</v>
      </c>
      <c r="T16" s="25"/>
      <c r="U16" s="25"/>
      <c r="V16" s="26"/>
      <c r="W16" s="25"/>
      <c r="X16" s="25"/>
    </row>
    <row r="17" spans="1:24" s="7" customFormat="1" ht="15.75" customHeight="1" x14ac:dyDescent="0.35">
      <c r="A17" s="10" t="s">
        <v>164</v>
      </c>
      <c r="B17" s="23">
        <v>23097.119999999999</v>
      </c>
      <c r="C17" s="25">
        <f t="shared" si="0"/>
        <v>102866.07</v>
      </c>
      <c r="D17" s="25"/>
      <c r="E17" s="25"/>
      <c r="F17" s="25"/>
      <c r="G17" s="25">
        <f>78521.25+7540.8+845</f>
        <v>86907.05</v>
      </c>
      <c r="H17" s="25"/>
      <c r="I17" s="25"/>
      <c r="J17" s="25">
        <v>4506</v>
      </c>
      <c r="K17" s="25"/>
      <c r="L17" s="25"/>
      <c r="M17" s="25"/>
      <c r="N17" s="25">
        <v>4864</v>
      </c>
      <c r="O17" s="25"/>
      <c r="P17" s="25"/>
      <c r="Q17" s="25"/>
      <c r="R17" s="25"/>
      <c r="S17" s="25"/>
      <c r="T17" s="25">
        <v>1936.76</v>
      </c>
      <c r="U17" s="25">
        <v>2480.4899999999998</v>
      </c>
      <c r="V17" s="26">
        <f>432.77+1739</f>
        <v>2171.77</v>
      </c>
      <c r="W17" s="25"/>
      <c r="X17" s="25"/>
    </row>
    <row r="18" spans="1:24" s="7" customFormat="1" ht="15.75" customHeight="1" x14ac:dyDescent="0.35">
      <c r="A18" s="11" t="s">
        <v>165</v>
      </c>
      <c r="B18" s="23">
        <v>349344.84</v>
      </c>
      <c r="C18" s="25">
        <f t="shared" si="0"/>
        <v>10754.999</v>
      </c>
      <c r="D18" s="25"/>
      <c r="E18" s="25"/>
      <c r="F18" s="25"/>
      <c r="G18" s="25">
        <v>654.26</v>
      </c>
      <c r="H18" s="25"/>
      <c r="I18" s="25"/>
      <c r="J18" s="25">
        <v>457</v>
      </c>
      <c r="K18" s="25">
        <f>376.48+367.479</f>
        <v>743.95900000000006</v>
      </c>
      <c r="L18" s="25">
        <v>1795</v>
      </c>
      <c r="M18" s="25"/>
      <c r="N18" s="25"/>
      <c r="O18" s="25"/>
      <c r="P18" s="25"/>
      <c r="Q18" s="25">
        <v>4414</v>
      </c>
      <c r="R18" s="25"/>
      <c r="S18" s="25"/>
      <c r="T18" s="25"/>
      <c r="U18" s="25">
        <v>2690.78</v>
      </c>
      <c r="V18" s="26"/>
      <c r="W18" s="25"/>
      <c r="X18" s="25"/>
    </row>
    <row r="19" spans="1:24" s="7" customFormat="1" ht="15.5" x14ac:dyDescent="0.35">
      <c r="A19" s="11" t="s">
        <v>251</v>
      </c>
      <c r="B19" s="23">
        <v>351658.08</v>
      </c>
      <c r="C19" s="25">
        <f t="shared" si="0"/>
        <v>53588.536399999997</v>
      </c>
      <c r="D19" s="25"/>
      <c r="E19" s="25"/>
      <c r="F19" s="25"/>
      <c r="G19" s="25">
        <f>3109.9844+657.732</f>
        <v>3767.7163999999998</v>
      </c>
      <c r="H19" s="25"/>
      <c r="I19" s="25"/>
      <c r="J19" s="25">
        <f>676+1265.66+21558.3+157.65+2056</f>
        <v>25713.61</v>
      </c>
      <c r="K19" s="25">
        <f>376.48+376.48+1060</f>
        <v>1812.96</v>
      </c>
      <c r="L19" s="25"/>
      <c r="M19" s="25"/>
      <c r="N19" s="25"/>
      <c r="O19" s="25"/>
      <c r="P19" s="25"/>
      <c r="Q19" s="25">
        <v>10507</v>
      </c>
      <c r="R19" s="25"/>
      <c r="S19" s="25">
        <v>2080</v>
      </c>
      <c r="T19" s="25">
        <v>1232.9100000000001</v>
      </c>
      <c r="U19" s="25">
        <v>8041.57</v>
      </c>
      <c r="V19" s="26">
        <v>432.77</v>
      </c>
      <c r="W19" s="25"/>
      <c r="X19" s="25"/>
    </row>
    <row r="20" spans="1:24" s="7" customFormat="1" ht="15.75" customHeight="1" x14ac:dyDescent="0.35">
      <c r="A20" s="11" t="s">
        <v>252</v>
      </c>
      <c r="B20" s="23">
        <v>414019.08</v>
      </c>
      <c r="C20" s="25">
        <f t="shared" si="0"/>
        <v>367028.04</v>
      </c>
      <c r="D20" s="25"/>
      <c r="E20" s="25"/>
      <c r="F20" s="25"/>
      <c r="G20" s="25">
        <v>1044.3</v>
      </c>
      <c r="H20" s="25"/>
      <c r="I20" s="25"/>
      <c r="J20" s="25">
        <f>220.56+2469</f>
        <v>2689.56</v>
      </c>
      <c r="K20" s="25">
        <v>776</v>
      </c>
      <c r="L20" s="25">
        <v>3744.99</v>
      </c>
      <c r="M20" s="25"/>
      <c r="N20" s="25"/>
      <c r="O20" s="25"/>
      <c r="P20" s="25"/>
      <c r="Q20" s="25">
        <v>80858.399999999994</v>
      </c>
      <c r="R20" s="25"/>
      <c r="S20" s="25">
        <v>2359.6999999999998</v>
      </c>
      <c r="T20" s="25"/>
      <c r="U20" s="25">
        <v>1142.3399999999999</v>
      </c>
      <c r="V20" s="26">
        <v>9652</v>
      </c>
      <c r="W20" s="25"/>
      <c r="X20" s="25">
        <v>264760.75</v>
      </c>
    </row>
    <row r="21" spans="1:24" s="7" customFormat="1" ht="15.75" customHeight="1" x14ac:dyDescent="0.35">
      <c r="A21" s="11" t="s">
        <v>253</v>
      </c>
      <c r="B21" s="23">
        <v>764761.44</v>
      </c>
      <c r="C21" s="25">
        <f t="shared" si="0"/>
        <v>70578.698999999993</v>
      </c>
      <c r="D21" s="25"/>
      <c r="E21" s="25"/>
      <c r="F21" s="25"/>
      <c r="G21" s="25">
        <v>785.08</v>
      </c>
      <c r="H21" s="25"/>
      <c r="I21" s="25"/>
      <c r="J21" s="25">
        <f>3117.52+1789.01</f>
        <v>4906.53</v>
      </c>
      <c r="K21" s="25">
        <f>376.48+376.479+376.48+850</f>
        <v>1979.4390000000001</v>
      </c>
      <c r="L21" s="25">
        <f>14572.2+1767.99</f>
        <v>16340.19</v>
      </c>
      <c r="M21" s="25"/>
      <c r="N21" s="25"/>
      <c r="O21" s="25"/>
      <c r="P21" s="25"/>
      <c r="Q21" s="25">
        <v>46567.46</v>
      </c>
      <c r="R21" s="25"/>
      <c r="S21" s="25"/>
      <c r="T21" s="25"/>
      <c r="U21" s="25"/>
      <c r="V21" s="26"/>
      <c r="W21" s="25"/>
      <c r="X21" s="25"/>
    </row>
    <row r="22" spans="1:24" ht="15.75" customHeight="1" x14ac:dyDescent="0.35">
      <c r="A22" s="11" t="s">
        <v>254</v>
      </c>
      <c r="B22" s="23">
        <v>143749.56</v>
      </c>
      <c r="C22" s="25">
        <f t="shared" si="0"/>
        <v>89532.409999999989</v>
      </c>
      <c r="D22" s="25"/>
      <c r="E22" s="25"/>
      <c r="F22" s="25"/>
      <c r="G22" s="25"/>
      <c r="H22" s="25"/>
      <c r="I22" s="25"/>
      <c r="J22" s="25"/>
      <c r="K22" s="25">
        <v>376.48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  <c r="W22" s="25"/>
      <c r="X22" s="25">
        <v>89155.93</v>
      </c>
    </row>
    <row r="23" spans="1:24" s="46" customFormat="1" ht="15.75" customHeight="1" x14ac:dyDescent="0.35">
      <c r="A23" s="11" t="s">
        <v>255</v>
      </c>
      <c r="B23" s="23">
        <v>296036.40000000002</v>
      </c>
      <c r="C23" s="25">
        <f t="shared" si="0"/>
        <v>191399.37240000002</v>
      </c>
      <c r="D23" s="25">
        <v>2478.6961999999999</v>
      </c>
      <c r="E23" s="25"/>
      <c r="F23" s="25"/>
      <c r="G23" s="25"/>
      <c r="H23" s="25"/>
      <c r="I23" s="25"/>
      <c r="J23" s="25">
        <f>633.7+2616.06</f>
        <v>3249.76</v>
      </c>
      <c r="K23" s="25">
        <v>376.48</v>
      </c>
      <c r="L23" s="25">
        <v>2708.89</v>
      </c>
      <c r="M23" s="25"/>
      <c r="N23" s="25">
        <v>2190.4812000000002</v>
      </c>
      <c r="O23" s="25">
        <v>1651.835</v>
      </c>
      <c r="P23" s="25"/>
      <c r="Q23" s="25"/>
      <c r="R23" s="25"/>
      <c r="S23" s="25">
        <v>1387.79</v>
      </c>
      <c r="T23" s="25">
        <v>702.74</v>
      </c>
      <c r="U23" s="25"/>
      <c r="V23" s="26"/>
      <c r="W23" s="25"/>
      <c r="X23" s="25">
        <v>176652.7</v>
      </c>
    </row>
    <row r="24" spans="1:24" s="7" customFormat="1" ht="15.75" customHeight="1" x14ac:dyDescent="0.35">
      <c r="A24" s="11" t="s">
        <v>256</v>
      </c>
      <c r="B24" s="23">
        <v>548803.92000000004</v>
      </c>
      <c r="C24" s="25">
        <f t="shared" si="0"/>
        <v>447010.18980000005</v>
      </c>
      <c r="D24" s="25"/>
      <c r="E24" s="25"/>
      <c r="F24" s="25"/>
      <c r="G24" s="25">
        <v>353660.163</v>
      </c>
      <c r="H24" s="25">
        <v>20520.46</v>
      </c>
      <c r="I24" s="25"/>
      <c r="J24" s="25">
        <f>5719.34+2699.32+6540.07</f>
        <v>14958.73</v>
      </c>
      <c r="K24" s="25">
        <f>376.48+592.87</f>
        <v>969.35</v>
      </c>
      <c r="L24" s="25">
        <v>11938.19</v>
      </c>
      <c r="M24" s="25"/>
      <c r="N24" s="25">
        <f>6893.78+10340.6468</f>
        <v>17234.426800000001</v>
      </c>
      <c r="O24" s="25"/>
      <c r="P24" s="25"/>
      <c r="Q24" s="25">
        <f>9686.03+5502.41+10641.9</f>
        <v>25830.34</v>
      </c>
      <c r="R24" s="25"/>
      <c r="S24" s="25">
        <v>1898.53</v>
      </c>
      <c r="T24" s="25"/>
      <c r="U24" s="25"/>
      <c r="V24" s="26"/>
      <c r="W24" s="25"/>
      <c r="X24" s="25"/>
    </row>
    <row r="25" spans="1:24" s="7" customFormat="1" ht="15.75" customHeight="1" x14ac:dyDescent="0.35">
      <c r="A25" s="11" t="s">
        <v>257</v>
      </c>
      <c r="B25" s="23">
        <v>308196.12</v>
      </c>
      <c r="C25" s="25">
        <f t="shared" si="0"/>
        <v>238080.02500000002</v>
      </c>
      <c r="D25" s="25"/>
      <c r="E25" s="25"/>
      <c r="F25" s="25"/>
      <c r="G25" s="25"/>
      <c r="H25" s="25"/>
      <c r="I25" s="25"/>
      <c r="J25" s="25">
        <f>1601.68+1372.53</f>
        <v>2974.21</v>
      </c>
      <c r="K25" s="25"/>
      <c r="L25" s="25">
        <v>3111.31</v>
      </c>
      <c r="M25" s="25"/>
      <c r="N25" s="25">
        <f>11650.9424+938.7726</f>
        <v>12589.715</v>
      </c>
      <c r="O25" s="25"/>
      <c r="P25" s="25"/>
      <c r="Q25" s="25">
        <f>26860.46+33378.6</f>
        <v>60239.06</v>
      </c>
      <c r="R25" s="25"/>
      <c r="S25" s="25">
        <f>405.96+3069.52</f>
        <v>3475.48</v>
      </c>
      <c r="T25" s="25"/>
      <c r="U25" s="25"/>
      <c r="V25" s="26">
        <f>432.77+5217</f>
        <v>5649.77</v>
      </c>
      <c r="W25" s="25"/>
      <c r="X25" s="25">
        <v>150040.48000000001</v>
      </c>
    </row>
    <row r="26" spans="1:24" s="7" customFormat="1" ht="15.75" customHeight="1" x14ac:dyDescent="0.35">
      <c r="A26" s="11" t="s">
        <v>258</v>
      </c>
      <c r="B26" s="23">
        <v>444716.16</v>
      </c>
      <c r="C26" s="25">
        <f t="shared" si="0"/>
        <v>6982.27</v>
      </c>
      <c r="D26" s="25"/>
      <c r="E26" s="25"/>
      <c r="F26" s="25"/>
      <c r="G26" s="25"/>
      <c r="H26" s="25"/>
      <c r="I26" s="25"/>
      <c r="J26" s="25">
        <v>273</v>
      </c>
      <c r="K26" s="25">
        <f>376.48+376.48+304</f>
        <v>1056.96</v>
      </c>
      <c r="L26" s="25"/>
      <c r="M26" s="25"/>
      <c r="N26" s="25"/>
      <c r="O26" s="25"/>
      <c r="P26" s="25"/>
      <c r="Q26" s="25"/>
      <c r="R26" s="25"/>
      <c r="S26" s="25"/>
      <c r="T26" s="25">
        <f>4920.31+732</f>
        <v>5652.31</v>
      </c>
      <c r="U26" s="25"/>
      <c r="V26" s="26"/>
      <c r="W26" s="25"/>
      <c r="X26" s="25"/>
    </row>
    <row r="27" spans="1:24" s="7" customFormat="1" ht="15.75" customHeight="1" x14ac:dyDescent="0.35">
      <c r="A27" s="11" t="s">
        <v>259</v>
      </c>
      <c r="B27" s="23">
        <v>279435.24</v>
      </c>
      <c r="C27" s="25">
        <f t="shared" si="0"/>
        <v>39346.97</v>
      </c>
      <c r="D27" s="25"/>
      <c r="E27" s="25"/>
      <c r="F27" s="25"/>
      <c r="G27" s="25"/>
      <c r="H27" s="25"/>
      <c r="I27" s="25"/>
      <c r="J27" s="25">
        <f>9282.79+4004.21+1354.38+5662.6</f>
        <v>20303.980000000003</v>
      </c>
      <c r="K27" s="25">
        <v>10078</v>
      </c>
      <c r="L27" s="25"/>
      <c r="M27" s="25"/>
      <c r="N27" s="25">
        <v>793.99</v>
      </c>
      <c r="O27" s="25">
        <v>8171</v>
      </c>
      <c r="P27" s="25"/>
      <c r="Q27" s="25"/>
      <c r="R27" s="25"/>
      <c r="S27" s="25"/>
      <c r="T27" s="25"/>
      <c r="U27" s="25"/>
      <c r="V27" s="26"/>
      <c r="W27" s="25"/>
      <c r="X27" s="25"/>
    </row>
    <row r="28" spans="1:24" s="7" customFormat="1" ht="15.75" customHeight="1" x14ac:dyDescent="0.35">
      <c r="A28" s="11" t="s">
        <v>260</v>
      </c>
      <c r="B28" s="23" t="s">
        <v>394</v>
      </c>
      <c r="C28" s="25">
        <f t="shared" si="0"/>
        <v>17412.599999999999</v>
      </c>
      <c r="D28" s="25">
        <v>9269</v>
      </c>
      <c r="E28" s="25"/>
      <c r="F28" s="25"/>
      <c r="G28" s="25">
        <v>5750.6</v>
      </c>
      <c r="H28" s="25"/>
      <c r="I28" s="25"/>
      <c r="J28" s="25"/>
      <c r="K28" s="25"/>
      <c r="L28" s="25">
        <v>2393</v>
      </c>
      <c r="M28" s="25"/>
      <c r="N28" s="25"/>
      <c r="O28" s="25"/>
      <c r="P28" s="25"/>
      <c r="Q28" s="25"/>
      <c r="R28" s="25"/>
      <c r="S28" s="25"/>
      <c r="T28" s="25"/>
      <c r="U28" s="25"/>
      <c r="V28" s="26"/>
      <c r="W28" s="25"/>
      <c r="X28" s="25"/>
    </row>
    <row r="29" spans="1:24" ht="15.75" customHeight="1" x14ac:dyDescent="0.35">
      <c r="A29" s="11" t="s">
        <v>391</v>
      </c>
      <c r="B29" s="23">
        <v>74981.279999999999</v>
      </c>
      <c r="C29" s="25">
        <f t="shared" si="0"/>
        <v>2016.14</v>
      </c>
      <c r="D29" s="25"/>
      <c r="E29" s="25"/>
      <c r="F29" s="25"/>
      <c r="G29" s="25"/>
      <c r="H29" s="25"/>
      <c r="I29" s="25"/>
      <c r="J29" s="25">
        <v>2016.14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6"/>
      <c r="W29" s="25"/>
      <c r="X29" s="25"/>
    </row>
    <row r="30" spans="1:24" s="7" customFormat="1" ht="15.75" customHeight="1" x14ac:dyDescent="0.35">
      <c r="A30" s="11" t="s">
        <v>261</v>
      </c>
      <c r="B30" s="23">
        <v>90928.56</v>
      </c>
      <c r="C30" s="25">
        <f t="shared" si="0"/>
        <v>116409.34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>
        <v>54854.45</v>
      </c>
      <c r="R30" s="25"/>
      <c r="S30" s="25">
        <v>1192.3499999999999</v>
      </c>
      <c r="T30" s="25">
        <v>452.58</v>
      </c>
      <c r="U30" s="25"/>
      <c r="V30" s="26">
        <f>432.77+869</f>
        <v>1301.77</v>
      </c>
      <c r="W30" s="25"/>
      <c r="X30" s="25">
        <v>58608.19</v>
      </c>
    </row>
    <row r="31" spans="1:24" s="7" customFormat="1" ht="15.75" customHeight="1" x14ac:dyDescent="0.35">
      <c r="A31" s="11" t="s">
        <v>262</v>
      </c>
      <c r="B31" s="23">
        <v>95731.68</v>
      </c>
      <c r="C31" s="25">
        <f t="shared" si="0"/>
        <v>37303.31</v>
      </c>
      <c r="D31" s="25">
        <v>4963.08</v>
      </c>
      <c r="E31" s="25"/>
      <c r="F31" s="25"/>
      <c r="G31" s="25"/>
      <c r="H31" s="25"/>
      <c r="I31" s="25"/>
      <c r="J31" s="25">
        <f>2795.24+4626.8</f>
        <v>7422.04</v>
      </c>
      <c r="K31" s="25">
        <v>1778.61</v>
      </c>
      <c r="L31" s="25">
        <v>12610.7</v>
      </c>
      <c r="M31" s="25"/>
      <c r="N31" s="25"/>
      <c r="O31" s="25"/>
      <c r="P31" s="25"/>
      <c r="Q31" s="25"/>
      <c r="R31" s="25"/>
      <c r="S31" s="25">
        <v>1919.54</v>
      </c>
      <c r="T31" s="25"/>
      <c r="U31" s="25"/>
      <c r="V31" s="26">
        <f>432.77+8176.57</f>
        <v>8609.34</v>
      </c>
      <c r="W31" s="25"/>
      <c r="X31" s="25"/>
    </row>
    <row r="32" spans="1:24" s="7" customFormat="1" ht="15.75" customHeight="1" x14ac:dyDescent="0.35">
      <c r="A32" s="11" t="s">
        <v>263</v>
      </c>
      <c r="B32" s="23">
        <v>39153.599999999999</v>
      </c>
      <c r="C32" s="25">
        <f t="shared" si="0"/>
        <v>73169.73000000001</v>
      </c>
      <c r="D32" s="25"/>
      <c r="E32" s="25"/>
      <c r="F32" s="25"/>
      <c r="G32" s="25"/>
      <c r="H32" s="25"/>
      <c r="I32" s="25"/>
      <c r="J32" s="25">
        <v>2129</v>
      </c>
      <c r="K32" s="25"/>
      <c r="L32" s="25">
        <v>1900</v>
      </c>
      <c r="M32" s="25"/>
      <c r="N32" s="25">
        <v>6414.77</v>
      </c>
      <c r="O32" s="25"/>
      <c r="P32" s="25"/>
      <c r="Q32" s="25"/>
      <c r="R32" s="25"/>
      <c r="S32" s="25"/>
      <c r="T32" s="25"/>
      <c r="U32" s="25"/>
      <c r="V32" s="26">
        <f>432.77+869</f>
        <v>1301.77</v>
      </c>
      <c r="W32" s="25"/>
      <c r="X32" s="25">
        <v>61424.19</v>
      </c>
    </row>
    <row r="33" spans="1:24" s="8" customFormat="1" ht="15.75" customHeight="1" x14ac:dyDescent="0.35">
      <c r="A33" s="34" t="s">
        <v>264</v>
      </c>
      <c r="B33" s="35">
        <v>393681.84</v>
      </c>
      <c r="C33" s="25">
        <f t="shared" si="0"/>
        <v>578227.71</v>
      </c>
      <c r="D33" s="36"/>
      <c r="E33" s="36">
        <v>262991.38</v>
      </c>
      <c r="F33" s="36"/>
      <c r="G33" s="25">
        <f>3845.7+7865</f>
        <v>11710.7</v>
      </c>
      <c r="H33" s="36"/>
      <c r="I33" s="36"/>
      <c r="J33" s="36">
        <f>4248.32+647.67+6998.8</f>
        <v>11894.79</v>
      </c>
      <c r="K33" s="36"/>
      <c r="L33" s="36">
        <v>46598.3</v>
      </c>
      <c r="M33" s="36">
        <v>5762.08</v>
      </c>
      <c r="N33" s="36"/>
      <c r="O33" s="36"/>
      <c r="P33" s="36"/>
      <c r="Q33" s="36">
        <v>17984.2</v>
      </c>
      <c r="R33" s="36"/>
      <c r="S33" s="36">
        <v>354.74</v>
      </c>
      <c r="T33" s="36"/>
      <c r="U33" s="36">
        <f>1313.14+5761.86+1327.42</f>
        <v>8402.42</v>
      </c>
      <c r="V33" s="37">
        <f>1541.5+5549</f>
        <v>7090.5</v>
      </c>
      <c r="W33" s="36"/>
      <c r="X33" s="36">
        <v>211200.68</v>
      </c>
    </row>
    <row r="34" spans="1:24" ht="15.75" customHeight="1" x14ac:dyDescent="0.35">
      <c r="A34" s="11" t="s">
        <v>265</v>
      </c>
      <c r="B34" s="23">
        <v>246636.96</v>
      </c>
      <c r="C34" s="25">
        <f t="shared" si="0"/>
        <v>64513.539000000004</v>
      </c>
      <c r="D34" s="25">
        <v>9579.8889999999992</v>
      </c>
      <c r="E34" s="25"/>
      <c r="F34" s="25"/>
      <c r="G34" s="25"/>
      <c r="H34" s="25"/>
      <c r="I34" s="25"/>
      <c r="J34" s="25">
        <v>1111.0999999999999</v>
      </c>
      <c r="K34" s="25"/>
      <c r="L34" s="25">
        <v>18705</v>
      </c>
      <c r="M34" s="25"/>
      <c r="N34" s="25"/>
      <c r="O34" s="25"/>
      <c r="P34" s="25"/>
      <c r="Q34" s="25">
        <f>8099.46+4709.84</f>
        <v>12809.3</v>
      </c>
      <c r="R34" s="25">
        <v>6953.99</v>
      </c>
      <c r="S34" s="25">
        <f>2188.38+731.01</f>
        <v>2919.3900000000003</v>
      </c>
      <c r="T34" s="25"/>
      <c r="U34" s="25">
        <f>685.77+11749.1</f>
        <v>12434.87</v>
      </c>
      <c r="V34" s="26"/>
      <c r="W34" s="25"/>
      <c r="X34" s="25"/>
    </row>
    <row r="35" spans="1:24" ht="15.75" customHeight="1" x14ac:dyDescent="0.35">
      <c r="A35" s="11" t="s">
        <v>266</v>
      </c>
      <c r="B35" s="23">
        <v>281941.8</v>
      </c>
      <c r="C35" s="25">
        <f t="shared" si="0"/>
        <v>25471.938000000002</v>
      </c>
      <c r="D35" s="25"/>
      <c r="E35" s="25"/>
      <c r="F35" s="25"/>
      <c r="G35" s="25"/>
      <c r="H35" s="25"/>
      <c r="I35" s="25"/>
      <c r="J35" s="25">
        <f>3618.51+4285.4</f>
        <v>7903.91</v>
      </c>
      <c r="K35" s="25"/>
      <c r="L35" s="25">
        <f>743+2869</f>
        <v>3612</v>
      </c>
      <c r="M35" s="25"/>
      <c r="N35" s="27">
        <v>2620.7800000000002</v>
      </c>
      <c r="O35" s="25"/>
      <c r="P35" s="25"/>
      <c r="Q35" s="25">
        <f>2176.888+4318</f>
        <v>6494.8879999999999</v>
      </c>
      <c r="R35" s="25"/>
      <c r="S35" s="25">
        <v>4840.3599999999997</v>
      </c>
      <c r="T35" s="25"/>
      <c r="U35" s="25"/>
      <c r="V35" s="26"/>
      <c r="W35" s="25"/>
      <c r="X35" s="25"/>
    </row>
    <row r="36" spans="1:24" ht="15.75" customHeight="1" x14ac:dyDescent="0.35">
      <c r="A36" s="11" t="s">
        <v>267</v>
      </c>
      <c r="B36" s="23">
        <v>185412.84</v>
      </c>
      <c r="C36" s="25">
        <f t="shared" si="0"/>
        <v>99271.41</v>
      </c>
      <c r="D36" s="25"/>
      <c r="E36" s="25"/>
      <c r="F36" s="25"/>
      <c r="G36" s="25">
        <v>86687.46</v>
      </c>
      <c r="H36" s="25"/>
      <c r="I36" s="25"/>
      <c r="J36" s="25"/>
      <c r="K36" s="25">
        <v>933</v>
      </c>
      <c r="L36" s="25"/>
      <c r="M36" s="25"/>
      <c r="N36" s="25"/>
      <c r="O36" s="25"/>
      <c r="P36" s="25"/>
      <c r="Q36" s="25">
        <v>4207.78</v>
      </c>
      <c r="R36" s="25">
        <v>3551</v>
      </c>
      <c r="S36" s="25">
        <v>1037.22</v>
      </c>
      <c r="T36" s="25">
        <v>228</v>
      </c>
      <c r="U36" s="25">
        <v>2626.95</v>
      </c>
      <c r="V36" s="26"/>
      <c r="W36" s="25"/>
      <c r="X36" s="25"/>
    </row>
    <row r="37" spans="1:24" s="7" customFormat="1" ht="15.75" customHeight="1" x14ac:dyDescent="0.35">
      <c r="A37" s="11" t="s">
        <v>268</v>
      </c>
      <c r="B37" s="23">
        <v>214127.64</v>
      </c>
      <c r="C37" s="25">
        <f t="shared" si="0"/>
        <v>13566.46</v>
      </c>
      <c r="D37" s="25"/>
      <c r="E37" s="25"/>
      <c r="F37" s="25"/>
      <c r="G37" s="25"/>
      <c r="H37" s="25"/>
      <c r="I37" s="25"/>
      <c r="J37" s="25">
        <f>2843.89+4061.47</f>
        <v>6905.36</v>
      </c>
      <c r="K37" s="25"/>
      <c r="L37" s="25"/>
      <c r="M37" s="25"/>
      <c r="N37" s="25"/>
      <c r="O37" s="25"/>
      <c r="P37" s="25"/>
      <c r="Q37" s="25">
        <v>974.68</v>
      </c>
      <c r="R37" s="25"/>
      <c r="S37" s="25"/>
      <c r="T37" s="25">
        <v>5686.42</v>
      </c>
      <c r="U37" s="25"/>
      <c r="V37" s="26"/>
      <c r="W37" s="25"/>
      <c r="X37" s="25"/>
    </row>
    <row r="38" spans="1:24" s="7" customFormat="1" ht="15.75" customHeight="1" x14ac:dyDescent="0.35">
      <c r="A38" s="11" t="s">
        <v>269</v>
      </c>
      <c r="B38" s="23">
        <v>1229994.1200000001</v>
      </c>
      <c r="C38" s="25">
        <f t="shared" si="0"/>
        <v>144514.77799999999</v>
      </c>
      <c r="D38" s="25">
        <v>13547.58</v>
      </c>
      <c r="E38" s="25"/>
      <c r="F38" s="25"/>
      <c r="G38" s="25">
        <v>785.08</v>
      </c>
      <c r="H38" s="25"/>
      <c r="I38" s="25"/>
      <c r="J38" s="25">
        <f>2843.89+15970.27</f>
        <v>18814.16</v>
      </c>
      <c r="K38" s="25">
        <f>752.95+304</f>
        <v>1056.95</v>
      </c>
      <c r="L38" s="25">
        <v>14240.5</v>
      </c>
      <c r="M38" s="25">
        <v>5121.8500000000004</v>
      </c>
      <c r="N38" s="25">
        <f>4168.16+3442.178</f>
        <v>7610.3379999999997</v>
      </c>
      <c r="O38" s="25">
        <v>16161.28</v>
      </c>
      <c r="P38" s="25"/>
      <c r="Q38" s="25">
        <v>50328</v>
      </c>
      <c r="R38" s="25"/>
      <c r="S38" s="25">
        <f>3572.8+1037.22</f>
        <v>4610.0200000000004</v>
      </c>
      <c r="T38" s="25"/>
      <c r="U38" s="25">
        <v>1142.95</v>
      </c>
      <c r="V38" s="26">
        <v>16217.92</v>
      </c>
      <c r="W38" s="25"/>
      <c r="X38" s="25"/>
    </row>
    <row r="39" spans="1:24" s="7" customFormat="1" ht="15.75" customHeight="1" x14ac:dyDescent="0.35">
      <c r="A39" s="11" t="s">
        <v>270</v>
      </c>
      <c r="B39" s="23">
        <v>146181.48000000001</v>
      </c>
      <c r="C39" s="25">
        <f t="shared" si="0"/>
        <v>27033.77</v>
      </c>
      <c r="D39" s="25"/>
      <c r="E39" s="25"/>
      <c r="F39" s="25"/>
      <c r="G39" s="25">
        <f>2887.1+1705.97</f>
        <v>4593.07</v>
      </c>
      <c r="H39" s="25"/>
      <c r="I39" s="25"/>
      <c r="J39" s="25">
        <f>519.7+1979.44+349.28+7926.2</f>
        <v>10774.619999999999</v>
      </c>
      <c r="K39" s="25"/>
      <c r="L39" s="25">
        <v>1197</v>
      </c>
      <c r="M39" s="25"/>
      <c r="N39" s="25">
        <v>7703.31</v>
      </c>
      <c r="O39" s="25"/>
      <c r="P39" s="25"/>
      <c r="Q39" s="25"/>
      <c r="R39" s="25"/>
      <c r="S39" s="25"/>
      <c r="T39" s="25">
        <v>1464</v>
      </c>
      <c r="U39" s="25"/>
      <c r="V39" s="26">
        <f>432.77+869</f>
        <v>1301.77</v>
      </c>
      <c r="W39" s="25"/>
      <c r="X39" s="25"/>
    </row>
    <row r="40" spans="1:24" ht="15.75" customHeight="1" x14ac:dyDescent="0.35">
      <c r="A40" s="11" t="s">
        <v>271</v>
      </c>
      <c r="B40" s="23">
        <v>56109.24</v>
      </c>
      <c r="C40" s="25">
        <f t="shared" si="0"/>
        <v>121204.12</v>
      </c>
      <c r="D40" s="25"/>
      <c r="E40" s="25"/>
      <c r="F40" s="25"/>
      <c r="G40" s="25">
        <v>6297.31</v>
      </c>
      <c r="H40" s="25">
        <v>21454.34</v>
      </c>
      <c r="I40" s="25"/>
      <c r="J40" s="25">
        <f>309.01+424.8</f>
        <v>733.81</v>
      </c>
      <c r="K40" s="25"/>
      <c r="L40" s="25">
        <v>37613.1</v>
      </c>
      <c r="M40" s="25"/>
      <c r="N40" s="25">
        <v>3529.98</v>
      </c>
      <c r="O40" s="25"/>
      <c r="P40" s="25"/>
      <c r="Q40" s="25">
        <v>4772.7</v>
      </c>
      <c r="R40" s="25">
        <v>4353.5</v>
      </c>
      <c r="S40" s="25">
        <v>691.48</v>
      </c>
      <c r="T40" s="25"/>
      <c r="U40" s="25"/>
      <c r="V40" s="26">
        <f>432.77+2429</f>
        <v>2861.77</v>
      </c>
      <c r="W40" s="25"/>
      <c r="X40" s="25">
        <v>38896.129999999997</v>
      </c>
    </row>
    <row r="41" spans="1:24" ht="15.75" customHeight="1" x14ac:dyDescent="0.35">
      <c r="A41" s="11" t="s">
        <v>272</v>
      </c>
      <c r="B41" s="23">
        <v>29043.599999999999</v>
      </c>
      <c r="C41" s="25">
        <f t="shared" si="0"/>
        <v>30791.08</v>
      </c>
      <c r="D41" s="25"/>
      <c r="E41" s="25"/>
      <c r="F41" s="25"/>
      <c r="G41" s="25"/>
      <c r="H41" s="25"/>
      <c r="I41" s="25"/>
      <c r="J41" s="25">
        <v>4391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6"/>
      <c r="W41" s="25"/>
      <c r="X41" s="25">
        <v>26400.080000000002</v>
      </c>
    </row>
    <row r="42" spans="1:24" s="7" customFormat="1" ht="15.75" customHeight="1" x14ac:dyDescent="0.35">
      <c r="A42" s="11" t="s">
        <v>273</v>
      </c>
      <c r="B42" s="23">
        <v>135216.95999999999</v>
      </c>
      <c r="C42" s="25">
        <f t="shared" si="0"/>
        <v>346796.47</v>
      </c>
      <c r="D42" s="25"/>
      <c r="E42" s="25"/>
      <c r="F42" s="25"/>
      <c r="G42" s="25">
        <f>78521.25+9554.81+213.69</f>
        <v>88289.75</v>
      </c>
      <c r="H42" s="25">
        <v>67219</v>
      </c>
      <c r="I42" s="25"/>
      <c r="J42" s="25"/>
      <c r="K42" s="25">
        <f>1108.7+3264.92+23787.9</f>
        <v>28161.52</v>
      </c>
      <c r="L42" s="25">
        <v>37915.53</v>
      </c>
      <c r="M42" s="25"/>
      <c r="N42" s="25"/>
      <c r="O42" s="25"/>
      <c r="P42" s="25"/>
      <c r="Q42" s="25">
        <v>7253.84</v>
      </c>
      <c r="R42" s="25"/>
      <c r="S42" s="25"/>
      <c r="T42" s="25">
        <v>2655.38</v>
      </c>
      <c r="U42" s="25">
        <v>1711.3</v>
      </c>
      <c r="V42" s="26">
        <f>432.77+869</f>
        <v>1301.77</v>
      </c>
      <c r="W42" s="25"/>
      <c r="X42" s="25">
        <v>112288.38</v>
      </c>
    </row>
    <row r="43" spans="1:24" s="7" customFormat="1" ht="15.75" customHeight="1" x14ac:dyDescent="0.35">
      <c r="A43" s="11" t="s">
        <v>274</v>
      </c>
      <c r="B43" s="23">
        <v>112103.52</v>
      </c>
      <c r="C43" s="25">
        <f t="shared" si="0"/>
        <v>77909.259999999995</v>
      </c>
      <c r="D43" s="25"/>
      <c r="E43" s="25"/>
      <c r="F43" s="25"/>
      <c r="G43" s="25">
        <v>554.46</v>
      </c>
      <c r="H43" s="25"/>
      <c r="I43" s="25"/>
      <c r="J43" s="25">
        <f>532.57+5201</f>
        <v>5733.57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6">
        <v>869</v>
      </c>
      <c r="W43" s="25"/>
      <c r="X43" s="25">
        <v>70752.23</v>
      </c>
    </row>
    <row r="44" spans="1:24" s="7" customFormat="1" ht="15.75" customHeight="1" x14ac:dyDescent="0.35">
      <c r="A44" s="11" t="s">
        <v>275</v>
      </c>
      <c r="B44" s="23">
        <v>71503.08</v>
      </c>
      <c r="C44" s="25">
        <f t="shared" si="0"/>
        <v>48284.3</v>
      </c>
      <c r="D44" s="25"/>
      <c r="E44" s="25"/>
      <c r="F44" s="25"/>
      <c r="G44" s="25">
        <v>218.09</v>
      </c>
      <c r="H44" s="25"/>
      <c r="I44" s="25"/>
      <c r="J44" s="25">
        <f>3199.85+994</f>
        <v>4193.8500000000004</v>
      </c>
      <c r="K44" s="25"/>
      <c r="L44" s="25"/>
      <c r="M44" s="25"/>
      <c r="N44" s="25"/>
      <c r="O44" s="25"/>
      <c r="P44" s="25"/>
      <c r="Q44" s="25"/>
      <c r="R44" s="25"/>
      <c r="S44" s="25"/>
      <c r="T44" s="25">
        <v>1653.68</v>
      </c>
      <c r="U44" s="25">
        <v>1711.3</v>
      </c>
      <c r="V44" s="26">
        <f>1541.5+432.77+869</f>
        <v>2843.27</v>
      </c>
      <c r="W44" s="25"/>
      <c r="X44" s="25">
        <v>37664.11</v>
      </c>
    </row>
    <row r="45" spans="1:24" ht="15.75" customHeight="1" x14ac:dyDescent="0.35">
      <c r="A45" s="11" t="s">
        <v>392</v>
      </c>
      <c r="B45" s="23">
        <v>61282.44</v>
      </c>
      <c r="C45" s="25">
        <f t="shared" si="0"/>
        <v>59277.94</v>
      </c>
      <c r="D45" s="25"/>
      <c r="E45" s="25"/>
      <c r="F45" s="25"/>
      <c r="G45" s="25"/>
      <c r="H45" s="25"/>
      <c r="I45" s="25"/>
      <c r="J45" s="25">
        <f>4208</f>
        <v>4208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6">
        <f>432.77+869</f>
        <v>1301.77</v>
      </c>
      <c r="W45" s="25"/>
      <c r="X45" s="25">
        <v>53768.17</v>
      </c>
    </row>
    <row r="46" spans="1:24" s="46" customFormat="1" ht="15.75" customHeight="1" x14ac:dyDescent="0.35">
      <c r="A46" s="11" t="s">
        <v>323</v>
      </c>
      <c r="B46" s="23">
        <v>19336.560000000001</v>
      </c>
      <c r="C46" s="25">
        <f t="shared" si="0"/>
        <v>58475.082999999999</v>
      </c>
      <c r="D46" s="25">
        <v>4563.7299999999996</v>
      </c>
      <c r="E46" s="25"/>
      <c r="F46" s="25"/>
      <c r="G46" s="25"/>
      <c r="H46" s="25"/>
      <c r="I46" s="25"/>
      <c r="J46" s="25">
        <f>6415.55+655.24+2973.6</f>
        <v>10044.39</v>
      </c>
      <c r="K46" s="25">
        <v>367.48</v>
      </c>
      <c r="L46" s="25">
        <v>11696.4</v>
      </c>
      <c r="M46" s="25"/>
      <c r="N46" s="25"/>
      <c r="O46" s="25">
        <v>1101.223</v>
      </c>
      <c r="P46" s="25"/>
      <c r="Q46" s="25"/>
      <c r="R46" s="25"/>
      <c r="S46" s="25"/>
      <c r="T46" s="25"/>
      <c r="U46" s="25"/>
      <c r="V46" s="26">
        <f>432.77+2021</f>
        <v>2453.77</v>
      </c>
      <c r="W46" s="25"/>
      <c r="X46" s="25">
        <v>28248.09</v>
      </c>
    </row>
    <row r="47" spans="1:24" s="7" customFormat="1" ht="15.75" customHeight="1" x14ac:dyDescent="0.35">
      <c r="A47" s="11" t="s">
        <v>324</v>
      </c>
      <c r="B47" s="23">
        <v>142794.35999999999</v>
      </c>
      <c r="C47" s="25">
        <f t="shared" si="0"/>
        <v>66547.745200000005</v>
      </c>
      <c r="D47" s="25"/>
      <c r="E47" s="25"/>
      <c r="F47" s="25"/>
      <c r="G47" s="25">
        <v>4582.1642000000002</v>
      </c>
      <c r="H47" s="25"/>
      <c r="I47" s="25"/>
      <c r="J47" s="25">
        <f>8169.64+7587.08</f>
        <v>15756.720000000001</v>
      </c>
      <c r="K47" s="25"/>
      <c r="L47" s="25"/>
      <c r="M47" s="25"/>
      <c r="N47" s="25">
        <v>4781</v>
      </c>
      <c r="O47" s="25"/>
      <c r="P47" s="25"/>
      <c r="Q47" s="25">
        <f>2367.741+1878.15+18712.07+990.94</f>
        <v>23948.900999999998</v>
      </c>
      <c r="R47" s="25"/>
      <c r="S47" s="25">
        <f>1244.28+12561+811.91</f>
        <v>14617.19</v>
      </c>
      <c r="T47" s="25"/>
      <c r="U47" s="25">
        <v>1560</v>
      </c>
      <c r="V47" s="26">
        <f>432.77+869</f>
        <v>1301.77</v>
      </c>
      <c r="W47" s="25"/>
      <c r="X47" s="25"/>
    </row>
    <row r="48" spans="1:24" s="7" customFormat="1" ht="15.75" customHeight="1" x14ac:dyDescent="0.35">
      <c r="A48" s="11" t="s">
        <v>325</v>
      </c>
      <c r="B48" s="23">
        <v>225481.2</v>
      </c>
      <c r="C48" s="25">
        <f t="shared" si="0"/>
        <v>14386.09</v>
      </c>
      <c r="D48" s="25"/>
      <c r="E48" s="25"/>
      <c r="F48" s="25"/>
      <c r="G48" s="25"/>
      <c r="H48" s="25"/>
      <c r="I48" s="25"/>
      <c r="J48" s="25">
        <v>994</v>
      </c>
      <c r="K48" s="25"/>
      <c r="L48" s="25"/>
      <c r="M48" s="25"/>
      <c r="N48" s="25">
        <v>6893.77</v>
      </c>
      <c r="O48" s="25"/>
      <c r="P48" s="25"/>
      <c r="Q48" s="25">
        <v>3201</v>
      </c>
      <c r="R48" s="25"/>
      <c r="S48" s="25"/>
      <c r="T48" s="25"/>
      <c r="U48" s="25">
        <v>1258.55</v>
      </c>
      <c r="V48" s="26">
        <f>432.77+1606</f>
        <v>2038.77</v>
      </c>
      <c r="W48" s="25"/>
      <c r="X48" s="25"/>
    </row>
    <row r="49" spans="1:24" s="46" customFormat="1" ht="15.75" customHeight="1" x14ac:dyDescent="0.35">
      <c r="A49" s="11" t="s">
        <v>373</v>
      </c>
      <c r="B49" s="23">
        <v>154673.04</v>
      </c>
      <c r="C49" s="25">
        <f t="shared" si="0"/>
        <v>37249.649999999994</v>
      </c>
      <c r="D49" s="25"/>
      <c r="E49" s="25"/>
      <c r="F49" s="25"/>
      <c r="G49" s="25">
        <f>3407+9445.96+9554.81</f>
        <v>22407.769999999997</v>
      </c>
      <c r="H49" s="25"/>
      <c r="I49" s="25"/>
      <c r="J49" s="25">
        <f>367.11+977</f>
        <v>1344.1100000000001</v>
      </c>
      <c r="K49" s="25"/>
      <c r="L49" s="25"/>
      <c r="M49" s="25"/>
      <c r="N49" s="25"/>
      <c r="O49" s="25">
        <v>11665</v>
      </c>
      <c r="P49" s="25"/>
      <c r="Q49" s="25"/>
      <c r="R49" s="25"/>
      <c r="S49" s="25"/>
      <c r="T49" s="25"/>
      <c r="U49" s="25"/>
      <c r="V49" s="26">
        <f>432.77+1400</f>
        <v>1832.77</v>
      </c>
      <c r="W49" s="25"/>
      <c r="X49" s="25"/>
    </row>
    <row r="50" spans="1:24" ht="15.75" customHeight="1" x14ac:dyDescent="0.35">
      <c r="A50" s="11" t="s">
        <v>374</v>
      </c>
      <c r="B50" s="23">
        <v>63297.96</v>
      </c>
      <c r="C50" s="25">
        <f t="shared" si="0"/>
        <v>13665.310000000001</v>
      </c>
      <c r="D50" s="25"/>
      <c r="E50" s="25"/>
      <c r="F50" s="25"/>
      <c r="G50" s="25"/>
      <c r="H50" s="25"/>
      <c r="I50" s="25"/>
      <c r="J50" s="25">
        <v>2520</v>
      </c>
      <c r="K50" s="25">
        <v>2067</v>
      </c>
      <c r="L50" s="25"/>
      <c r="M50" s="25"/>
      <c r="N50" s="25"/>
      <c r="O50" s="25"/>
      <c r="P50" s="25"/>
      <c r="Q50" s="25">
        <f>6170.04+1606</f>
        <v>7776.04</v>
      </c>
      <c r="R50" s="25"/>
      <c r="S50" s="25"/>
      <c r="T50" s="25"/>
      <c r="U50" s="25"/>
      <c r="V50" s="26">
        <f>432.77+869.5</f>
        <v>1302.27</v>
      </c>
      <c r="W50" s="25"/>
      <c r="X50" s="25"/>
    </row>
    <row r="51" spans="1:24" s="7" customFormat="1" ht="15.75" customHeight="1" x14ac:dyDescent="0.35">
      <c r="A51" s="11" t="s">
        <v>375</v>
      </c>
      <c r="B51" s="23">
        <v>109295.52</v>
      </c>
      <c r="C51" s="25">
        <f t="shared" si="0"/>
        <v>29905.14</v>
      </c>
      <c r="D51" s="25"/>
      <c r="E51" s="25"/>
      <c r="F51" s="25"/>
      <c r="G51" s="25"/>
      <c r="H51" s="25"/>
      <c r="I51" s="25"/>
      <c r="J51" s="25">
        <f>1306.71+1135</f>
        <v>2441.71</v>
      </c>
      <c r="K51" s="25"/>
      <c r="L51" s="25">
        <v>3403.96</v>
      </c>
      <c r="M51" s="25"/>
      <c r="N51" s="25"/>
      <c r="O51" s="25"/>
      <c r="P51" s="25"/>
      <c r="Q51" s="25"/>
      <c r="R51" s="25"/>
      <c r="S51" s="25">
        <v>4189.63</v>
      </c>
      <c r="T51" s="25"/>
      <c r="U51" s="25"/>
      <c r="V51" s="26">
        <f>432.77+869</f>
        <v>1301.77</v>
      </c>
      <c r="W51" s="25"/>
      <c r="X51" s="25">
        <v>18568.07</v>
      </c>
    </row>
    <row r="52" spans="1:24" ht="15.75" customHeight="1" x14ac:dyDescent="0.35">
      <c r="A52" s="11" t="s">
        <v>376</v>
      </c>
      <c r="B52" s="23">
        <v>184829.88</v>
      </c>
      <c r="C52" s="25">
        <f t="shared" si="0"/>
        <v>26107.26</v>
      </c>
      <c r="D52" s="25"/>
      <c r="E52" s="25"/>
      <c r="F52" s="25"/>
      <c r="G52" s="25"/>
      <c r="H52" s="25"/>
      <c r="I52" s="25"/>
      <c r="J52" s="25">
        <v>10448.370000000001</v>
      </c>
      <c r="K52" s="25"/>
      <c r="L52" s="25">
        <v>4189.63</v>
      </c>
      <c r="M52" s="25"/>
      <c r="N52" s="25">
        <v>1402.49</v>
      </c>
      <c r="O52" s="25"/>
      <c r="P52" s="25"/>
      <c r="Q52" s="25">
        <v>6220</v>
      </c>
      <c r="R52" s="25"/>
      <c r="S52" s="25"/>
      <c r="T52" s="25"/>
      <c r="U52" s="25"/>
      <c r="V52" s="26">
        <f>432.77+3414</f>
        <v>3846.77</v>
      </c>
      <c r="W52" s="25"/>
      <c r="X52" s="25"/>
    </row>
    <row r="53" spans="1:24" ht="15.75" customHeight="1" x14ac:dyDescent="0.35">
      <c r="A53" s="11" t="s">
        <v>377</v>
      </c>
      <c r="B53" s="23">
        <v>253335</v>
      </c>
      <c r="C53" s="25">
        <f t="shared" si="0"/>
        <v>80218.601999999999</v>
      </c>
      <c r="D53" s="25"/>
      <c r="E53" s="25"/>
      <c r="F53" s="25"/>
      <c r="G53" s="25"/>
      <c r="H53" s="25"/>
      <c r="I53" s="25"/>
      <c r="J53" s="25">
        <v>4350.8900000000003</v>
      </c>
      <c r="K53" s="25">
        <v>24847.599999999999</v>
      </c>
      <c r="L53" s="25">
        <v>9681.0300000000007</v>
      </c>
      <c r="M53" s="25"/>
      <c r="N53" s="25">
        <v>1558.3119999999999</v>
      </c>
      <c r="O53" s="25"/>
      <c r="P53" s="25"/>
      <c r="Q53" s="25">
        <v>38479</v>
      </c>
      <c r="R53" s="25"/>
      <c r="S53" s="25"/>
      <c r="T53" s="25"/>
      <c r="U53" s="25"/>
      <c r="V53" s="26">
        <f>432.77+869</f>
        <v>1301.77</v>
      </c>
      <c r="W53" s="25"/>
      <c r="X53" s="25"/>
    </row>
    <row r="54" spans="1:24" s="7" customFormat="1" ht="15.75" customHeight="1" x14ac:dyDescent="0.35">
      <c r="A54" s="11" t="s">
        <v>378</v>
      </c>
      <c r="B54" s="23">
        <v>85328.639999999999</v>
      </c>
      <c r="C54" s="25">
        <f t="shared" si="0"/>
        <v>192099.19399999999</v>
      </c>
      <c r="D54" s="25"/>
      <c r="E54" s="25"/>
      <c r="F54" s="25"/>
      <c r="G54" s="25"/>
      <c r="H54" s="25"/>
      <c r="I54" s="25"/>
      <c r="J54" s="25">
        <v>4582</v>
      </c>
      <c r="K54" s="25"/>
      <c r="L54" s="25">
        <f>3767.69+22684.4</f>
        <v>26452.09</v>
      </c>
      <c r="M54" s="25"/>
      <c r="N54" s="25">
        <f>583.66+779.154</f>
        <v>1362.8139999999999</v>
      </c>
      <c r="O54" s="25"/>
      <c r="P54" s="25"/>
      <c r="Q54" s="25"/>
      <c r="R54" s="25"/>
      <c r="S54" s="25"/>
      <c r="T54" s="25"/>
      <c r="U54" s="25"/>
      <c r="V54" s="26">
        <f>432.77+869</f>
        <v>1301.77</v>
      </c>
      <c r="W54" s="25"/>
      <c r="X54" s="25">
        <v>158400.51999999999</v>
      </c>
    </row>
    <row r="55" spans="1:24" s="7" customFormat="1" ht="15.75" customHeight="1" x14ac:dyDescent="0.35">
      <c r="A55" s="11" t="s">
        <v>379</v>
      </c>
      <c r="B55" s="23">
        <v>552041.88</v>
      </c>
      <c r="C55" s="25">
        <f t="shared" si="0"/>
        <v>759863.76300000004</v>
      </c>
      <c r="D55" s="25"/>
      <c r="E55" s="25"/>
      <c r="F55" s="25"/>
      <c r="G55" s="25"/>
      <c r="H55" s="25">
        <v>121079</v>
      </c>
      <c r="I55" s="25"/>
      <c r="J55" s="25">
        <f>7519.09+16315</f>
        <v>23834.09</v>
      </c>
      <c r="K55" s="25">
        <v>376.47899999999998</v>
      </c>
      <c r="L55" s="25">
        <v>11501.5</v>
      </c>
      <c r="M55" s="25"/>
      <c r="N55" s="25"/>
      <c r="O55" s="25">
        <v>5781.4340000000002</v>
      </c>
      <c r="P55" s="25"/>
      <c r="Q55" s="25">
        <f>165652+71794.52</f>
        <v>237446.52000000002</v>
      </c>
      <c r="R55" s="25">
        <v>7075</v>
      </c>
      <c r="S55" s="25">
        <f>24357+2208.77+4192</f>
        <v>30757.77</v>
      </c>
      <c r="T55" s="25"/>
      <c r="U55" s="25">
        <v>3082.16</v>
      </c>
      <c r="V55" s="26">
        <f>432.77+1080</f>
        <v>1512.77</v>
      </c>
      <c r="W55" s="25"/>
      <c r="X55" s="25">
        <v>317417.03999999998</v>
      </c>
    </row>
    <row r="56" spans="1:24" s="46" customFormat="1" ht="15.75" customHeight="1" x14ac:dyDescent="0.35">
      <c r="A56" s="11" t="s">
        <v>380</v>
      </c>
      <c r="B56" s="23">
        <v>207940.56</v>
      </c>
      <c r="C56" s="25">
        <f t="shared" si="0"/>
        <v>153962.85999999999</v>
      </c>
      <c r="D56" s="25"/>
      <c r="E56" s="25"/>
      <c r="F56" s="25"/>
      <c r="G56" s="25">
        <v>3910.28</v>
      </c>
      <c r="H56" s="25"/>
      <c r="I56" s="25"/>
      <c r="J56" s="25">
        <v>4208</v>
      </c>
      <c r="K56" s="25">
        <f>752.95+1129.43</f>
        <v>1882.38</v>
      </c>
      <c r="L56" s="25"/>
      <c r="M56" s="25"/>
      <c r="N56" s="25">
        <v>8269</v>
      </c>
      <c r="O56" s="25"/>
      <c r="P56" s="25"/>
      <c r="Q56" s="25">
        <f>7924.01</f>
        <v>7924.01</v>
      </c>
      <c r="R56" s="25"/>
      <c r="S56" s="25"/>
      <c r="T56" s="25"/>
      <c r="U56" s="25"/>
      <c r="V56" s="26">
        <v>432.77</v>
      </c>
      <c r="W56" s="25"/>
      <c r="X56" s="25">
        <v>127336.42</v>
      </c>
    </row>
    <row r="57" spans="1:24" s="7" customFormat="1" ht="15.75" customHeight="1" x14ac:dyDescent="0.35">
      <c r="A57" s="11" t="s">
        <v>381</v>
      </c>
      <c r="B57" s="23">
        <v>58974</v>
      </c>
      <c r="C57" s="25">
        <f t="shared" si="0"/>
        <v>179507.26400000002</v>
      </c>
      <c r="D57" s="25"/>
      <c r="E57" s="25"/>
      <c r="F57" s="25"/>
      <c r="G57" s="25"/>
      <c r="H57" s="25"/>
      <c r="I57" s="25"/>
      <c r="J57" s="25">
        <v>2601</v>
      </c>
      <c r="K57" s="25"/>
      <c r="L57" s="25">
        <v>18989.900000000001</v>
      </c>
      <c r="M57" s="25"/>
      <c r="N57" s="25"/>
      <c r="O57" s="25"/>
      <c r="P57" s="25"/>
      <c r="Q57" s="25">
        <f>35822.35+11283.35</f>
        <v>47105.7</v>
      </c>
      <c r="R57" s="25"/>
      <c r="S57" s="25"/>
      <c r="T57" s="25">
        <v>496.10700000000003</v>
      </c>
      <c r="U57" s="25">
        <v>244.43700000000001</v>
      </c>
      <c r="V57" s="26">
        <f>432.77+869</f>
        <v>1301.77</v>
      </c>
      <c r="W57" s="25"/>
      <c r="X57" s="25">
        <v>108768.35</v>
      </c>
    </row>
    <row r="58" spans="1:24" ht="15.75" customHeight="1" x14ac:dyDescent="0.35">
      <c r="A58" s="11" t="s">
        <v>382</v>
      </c>
      <c r="B58" s="23">
        <v>227161.24</v>
      </c>
      <c r="C58" s="25">
        <f t="shared" si="0"/>
        <v>230203.07500000001</v>
      </c>
      <c r="D58" s="25"/>
      <c r="E58" s="25"/>
      <c r="F58" s="25"/>
      <c r="G58" s="25">
        <v>10981.9</v>
      </c>
      <c r="H58" s="25"/>
      <c r="I58" s="25"/>
      <c r="J58" s="25">
        <f>3771.03+7446</f>
        <v>11217.03</v>
      </c>
      <c r="K58" s="25">
        <f>376.479+376.479+933.38</f>
        <v>1686.338</v>
      </c>
      <c r="L58" s="25"/>
      <c r="M58" s="25"/>
      <c r="N58" s="25"/>
      <c r="O58" s="25"/>
      <c r="P58" s="25"/>
      <c r="Q58" s="25">
        <f>6909.78+8300.214+1589.023+18636.82</f>
        <v>35435.837</v>
      </c>
      <c r="R58" s="25"/>
      <c r="S58" s="25">
        <v>3398.66</v>
      </c>
      <c r="T58" s="25"/>
      <c r="U58" s="25"/>
      <c r="V58" s="26">
        <f>432.77+1170</f>
        <v>1602.77</v>
      </c>
      <c r="W58" s="25"/>
      <c r="X58" s="25">
        <v>165880.54</v>
      </c>
    </row>
    <row r="59" spans="1:24" s="7" customFormat="1" ht="15.75" customHeight="1" x14ac:dyDescent="0.35">
      <c r="A59" s="11" t="s">
        <v>383</v>
      </c>
      <c r="B59" s="23">
        <v>144634.79999999999</v>
      </c>
      <c r="C59" s="25">
        <f t="shared" si="0"/>
        <v>13096.205000000002</v>
      </c>
      <c r="D59" s="25"/>
      <c r="E59" s="25"/>
      <c r="F59" s="25"/>
      <c r="G59" s="25"/>
      <c r="H59" s="25"/>
      <c r="I59" s="25"/>
      <c r="J59" s="25">
        <v>2508</v>
      </c>
      <c r="K59" s="25"/>
      <c r="L59" s="25">
        <v>3403.96</v>
      </c>
      <c r="M59" s="25"/>
      <c r="N59" s="25">
        <v>1095.241</v>
      </c>
      <c r="O59" s="25"/>
      <c r="P59" s="25"/>
      <c r="Q59" s="25">
        <v>3601.56</v>
      </c>
      <c r="R59" s="25"/>
      <c r="S59" s="25">
        <v>315</v>
      </c>
      <c r="T59" s="25">
        <v>496.10700000000003</v>
      </c>
      <c r="U59" s="25">
        <v>374.56700000000001</v>
      </c>
      <c r="V59" s="26">
        <f>432.77+869</f>
        <v>1301.77</v>
      </c>
      <c r="W59" s="25"/>
      <c r="X59" s="25"/>
    </row>
    <row r="60" spans="1:24" s="7" customFormat="1" ht="15.75" customHeight="1" x14ac:dyDescent="0.35">
      <c r="A60" s="11" t="s">
        <v>372</v>
      </c>
      <c r="B60" s="23">
        <v>165147</v>
      </c>
      <c r="C60" s="25">
        <f t="shared" si="0"/>
        <v>146199.77899999998</v>
      </c>
      <c r="D60" s="25"/>
      <c r="E60" s="25"/>
      <c r="F60" s="25"/>
      <c r="G60" s="25"/>
      <c r="H60" s="25"/>
      <c r="I60" s="25"/>
      <c r="J60" s="25">
        <v>7046</v>
      </c>
      <c r="K60" s="25"/>
      <c r="L60" s="25"/>
      <c r="M60" s="25"/>
      <c r="N60" s="25"/>
      <c r="O60" s="25"/>
      <c r="P60" s="25"/>
      <c r="Q60" s="25"/>
      <c r="R60" s="25"/>
      <c r="S60" s="25">
        <v>4556.74</v>
      </c>
      <c r="T60" s="25">
        <v>496.10700000000003</v>
      </c>
      <c r="U60" s="25">
        <v>358.73200000000003</v>
      </c>
      <c r="V60" s="26">
        <f>432.77+869</f>
        <v>1301.77</v>
      </c>
      <c r="W60" s="25"/>
      <c r="X60" s="25">
        <v>132440.43</v>
      </c>
    </row>
    <row r="61" spans="1:24" s="7" customFormat="1" ht="15.75" customHeight="1" x14ac:dyDescent="0.35">
      <c r="A61" s="11" t="s">
        <v>371</v>
      </c>
      <c r="B61" s="23">
        <v>83050.559999999998</v>
      </c>
      <c r="C61" s="25">
        <f t="shared" si="0"/>
        <v>25563.829999999998</v>
      </c>
      <c r="D61" s="25"/>
      <c r="E61" s="25"/>
      <c r="F61" s="25"/>
      <c r="G61" s="25"/>
      <c r="H61" s="25"/>
      <c r="I61" s="25"/>
      <c r="J61" s="25">
        <v>6661.76</v>
      </c>
      <c r="K61" s="25"/>
      <c r="L61" s="25"/>
      <c r="M61" s="25"/>
      <c r="N61" s="25"/>
      <c r="O61" s="25"/>
      <c r="P61" s="25"/>
      <c r="Q61" s="25">
        <f>10179.3+4795</f>
        <v>14974.3</v>
      </c>
      <c r="R61" s="25"/>
      <c r="S61" s="25">
        <v>2059</v>
      </c>
      <c r="T61" s="25">
        <v>1436</v>
      </c>
      <c r="U61" s="25"/>
      <c r="V61" s="26">
        <v>432.77</v>
      </c>
      <c r="W61" s="25"/>
      <c r="X61" s="25"/>
    </row>
    <row r="62" spans="1:24" s="46" customFormat="1" ht="15.75" customHeight="1" x14ac:dyDescent="0.35">
      <c r="A62" s="11" t="s">
        <v>370</v>
      </c>
      <c r="B62" s="23">
        <v>219204.12</v>
      </c>
      <c r="C62" s="25">
        <f t="shared" si="0"/>
        <v>247126.989</v>
      </c>
      <c r="D62" s="25"/>
      <c r="E62" s="25"/>
      <c r="F62" s="25"/>
      <c r="G62" s="25">
        <v>767.3</v>
      </c>
      <c r="H62" s="25"/>
      <c r="I62" s="25"/>
      <c r="J62" s="25">
        <v>1859.92</v>
      </c>
      <c r="K62" s="25">
        <f>5335.55+11280</f>
        <v>16615.55</v>
      </c>
      <c r="L62" s="25">
        <v>3403.96</v>
      </c>
      <c r="M62" s="25"/>
      <c r="N62" s="25"/>
      <c r="O62" s="25"/>
      <c r="P62" s="25"/>
      <c r="Q62" s="25">
        <v>24323</v>
      </c>
      <c r="R62" s="25"/>
      <c r="S62" s="25"/>
      <c r="T62" s="25">
        <v>496.10700000000003</v>
      </c>
      <c r="U62" s="25">
        <v>358.73200000000003</v>
      </c>
      <c r="V62" s="26">
        <f>432.77+869</f>
        <v>1301.77</v>
      </c>
      <c r="W62" s="25"/>
      <c r="X62" s="25">
        <v>198000.65</v>
      </c>
    </row>
    <row r="63" spans="1:24" s="7" customFormat="1" ht="15.75" customHeight="1" x14ac:dyDescent="0.35">
      <c r="A63" s="11" t="s">
        <v>369</v>
      </c>
      <c r="B63" s="23">
        <v>95525.28</v>
      </c>
      <c r="C63" s="25">
        <f t="shared" si="0"/>
        <v>149060.9</v>
      </c>
      <c r="D63" s="25"/>
      <c r="E63" s="25"/>
      <c r="F63" s="25"/>
      <c r="G63" s="25">
        <v>1570.43</v>
      </c>
      <c r="H63" s="25"/>
      <c r="I63" s="25"/>
      <c r="J63" s="25"/>
      <c r="K63" s="25">
        <f>9071.27+41789.1</f>
        <v>50860.369999999995</v>
      </c>
      <c r="L63" s="25"/>
      <c r="M63" s="25"/>
      <c r="N63" s="25"/>
      <c r="O63" s="25"/>
      <c r="P63" s="25"/>
      <c r="Q63" s="25">
        <v>37984.495000000003</v>
      </c>
      <c r="R63" s="25"/>
      <c r="S63" s="25"/>
      <c r="T63" s="25">
        <v>496.10700000000003</v>
      </c>
      <c r="U63" s="25">
        <v>140.86799999999999</v>
      </c>
      <c r="V63" s="26">
        <f>432.77+1607.68</f>
        <v>2040.45</v>
      </c>
      <c r="W63" s="25"/>
      <c r="X63" s="25">
        <v>55968.18</v>
      </c>
    </row>
    <row r="64" spans="1:24" s="7" customFormat="1" ht="15.75" customHeight="1" x14ac:dyDescent="0.35">
      <c r="A64" s="11" t="s">
        <v>368</v>
      </c>
      <c r="B64" s="23">
        <v>115477.2</v>
      </c>
      <c r="C64" s="25">
        <f t="shared" si="0"/>
        <v>193987.13</v>
      </c>
      <c r="D64" s="25"/>
      <c r="E64" s="25"/>
      <c r="F64" s="25"/>
      <c r="G64" s="25"/>
      <c r="H64" s="25">
        <v>78496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>
        <f>4943.02+3998</f>
        <v>8941.02</v>
      </c>
      <c r="T64" s="25"/>
      <c r="U64" s="25"/>
      <c r="V64" s="26">
        <f>432.77+869</f>
        <v>1301.77</v>
      </c>
      <c r="W64" s="25"/>
      <c r="X64" s="25">
        <v>105248.34</v>
      </c>
    </row>
    <row r="65" spans="1:24" ht="15.75" customHeight="1" x14ac:dyDescent="0.35">
      <c r="A65" s="11" t="s">
        <v>367</v>
      </c>
      <c r="B65" s="23">
        <v>228047.76</v>
      </c>
      <c r="C65" s="25">
        <f t="shared" si="0"/>
        <v>175065.27</v>
      </c>
      <c r="D65" s="25"/>
      <c r="E65" s="25"/>
      <c r="F65" s="25"/>
      <c r="G65" s="25"/>
      <c r="H65" s="25"/>
      <c r="I65" s="25"/>
      <c r="J65" s="25">
        <f>8527.66+1986</f>
        <v>10513.66</v>
      </c>
      <c r="K65" s="25"/>
      <c r="L65" s="25"/>
      <c r="M65" s="25"/>
      <c r="N65" s="25">
        <v>1251.71</v>
      </c>
      <c r="O65" s="25"/>
      <c r="P65" s="25"/>
      <c r="Q65" s="25"/>
      <c r="R65" s="25">
        <f>7076.66+9417</f>
        <v>16493.66</v>
      </c>
      <c r="S65" s="25"/>
      <c r="T65" s="25"/>
      <c r="U65" s="25"/>
      <c r="V65" s="26">
        <f>432.77+1701</f>
        <v>2133.77</v>
      </c>
      <c r="W65" s="25"/>
      <c r="X65" s="25">
        <v>144672.47</v>
      </c>
    </row>
    <row r="66" spans="1:24" ht="15.75" customHeight="1" x14ac:dyDescent="0.35">
      <c r="A66" s="11" t="s">
        <v>366</v>
      </c>
      <c r="B66" s="23">
        <v>32529</v>
      </c>
      <c r="C66" s="25">
        <f t="shared" si="0"/>
        <v>45616.909999999996</v>
      </c>
      <c r="D66" s="25"/>
      <c r="E66" s="25"/>
      <c r="F66" s="25"/>
      <c r="G66" s="25"/>
      <c r="H66" s="25"/>
      <c r="I66" s="25"/>
      <c r="J66" s="25">
        <v>1371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6">
        <f>432.77+869</f>
        <v>1301.77</v>
      </c>
      <c r="W66" s="25"/>
      <c r="X66" s="25">
        <v>42944.14</v>
      </c>
    </row>
    <row r="67" spans="1:24" s="7" customFormat="1" ht="15.75" customHeight="1" x14ac:dyDescent="0.35">
      <c r="A67" s="11" t="s">
        <v>365</v>
      </c>
      <c r="B67" s="23">
        <v>97627.44</v>
      </c>
      <c r="C67" s="25">
        <f t="shared" si="0"/>
        <v>99700.3</v>
      </c>
      <c r="D67" s="25"/>
      <c r="E67" s="25"/>
      <c r="F67" s="25"/>
      <c r="G67" s="25"/>
      <c r="H67" s="25"/>
      <c r="I67" s="25"/>
      <c r="J67" s="25">
        <v>1986</v>
      </c>
      <c r="K67" s="25"/>
      <c r="L67" s="25"/>
      <c r="M67" s="25"/>
      <c r="N67" s="25"/>
      <c r="O67" s="25"/>
      <c r="P67" s="25"/>
      <c r="Q67" s="25">
        <v>514</v>
      </c>
      <c r="R67" s="25"/>
      <c r="S67" s="25">
        <v>1379</v>
      </c>
      <c r="T67" s="25"/>
      <c r="U67" s="25"/>
      <c r="V67" s="26">
        <f>869</f>
        <v>869</v>
      </c>
      <c r="W67" s="25"/>
      <c r="X67" s="25">
        <v>94952.3</v>
      </c>
    </row>
    <row r="68" spans="1:24" ht="15.75" customHeight="1" x14ac:dyDescent="0.35">
      <c r="A68" s="10" t="s">
        <v>364</v>
      </c>
      <c r="B68" s="23">
        <v>59029.93</v>
      </c>
      <c r="C68" s="25">
        <f t="shared" si="0"/>
        <v>0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6"/>
      <c r="W68" s="25"/>
      <c r="X68" s="25"/>
    </row>
    <row r="69" spans="1:24" ht="15.75" customHeight="1" x14ac:dyDescent="0.35">
      <c r="A69" s="10" t="s">
        <v>363</v>
      </c>
      <c r="B69" s="23">
        <v>34042.949999999997</v>
      </c>
      <c r="C69" s="25">
        <f t="shared" si="0"/>
        <v>22459.11</v>
      </c>
      <c r="D69" s="25"/>
      <c r="E69" s="25"/>
      <c r="F69" s="25"/>
      <c r="G69" s="25"/>
      <c r="H69" s="25"/>
      <c r="I69" s="25"/>
      <c r="J69" s="25"/>
      <c r="K69" s="25">
        <v>302</v>
      </c>
      <c r="L69" s="25"/>
      <c r="M69" s="25"/>
      <c r="N69" s="25"/>
      <c r="O69" s="25"/>
      <c r="P69" s="25"/>
      <c r="Q69" s="25"/>
      <c r="R69" s="25"/>
      <c r="S69" s="25"/>
      <c r="T69" s="25">
        <v>1684.13</v>
      </c>
      <c r="U69" s="25">
        <f>2640.98+17832</f>
        <v>20472.98</v>
      </c>
      <c r="V69" s="26"/>
      <c r="W69" s="25"/>
      <c r="X69" s="25"/>
    </row>
    <row r="70" spans="1:24" ht="15.75" customHeight="1" x14ac:dyDescent="0.35">
      <c r="A70" s="10" t="s">
        <v>362</v>
      </c>
      <c r="B70" s="23">
        <v>24970.66</v>
      </c>
      <c r="C70" s="25">
        <f t="shared" si="0"/>
        <v>31102.52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>
        <v>390.41</v>
      </c>
      <c r="V70" s="26"/>
      <c r="W70" s="25"/>
      <c r="X70" s="25">
        <v>30712.11</v>
      </c>
    </row>
    <row r="71" spans="1:24" ht="15.75" customHeight="1" x14ac:dyDescent="0.35">
      <c r="A71" s="10" t="s">
        <v>361</v>
      </c>
      <c r="B71" s="23">
        <v>45249.59</v>
      </c>
      <c r="C71" s="25">
        <f t="shared" si="0"/>
        <v>59542.99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>
        <v>3899.72</v>
      </c>
      <c r="R71" s="25"/>
      <c r="S71" s="25">
        <v>1699.1</v>
      </c>
      <c r="T71" s="25"/>
      <c r="U71" s="25"/>
      <c r="V71" s="26"/>
      <c r="W71" s="25"/>
      <c r="X71" s="25">
        <v>53944.17</v>
      </c>
    </row>
    <row r="72" spans="1:24" ht="15.75" customHeight="1" x14ac:dyDescent="0.35">
      <c r="A72" s="10" t="s">
        <v>360</v>
      </c>
      <c r="B72" s="23">
        <v>34915.78</v>
      </c>
      <c r="C72" s="25">
        <f t="shared" si="0"/>
        <v>28439.9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>
        <v>1159.81</v>
      </c>
      <c r="U72" s="25"/>
      <c r="V72" s="26"/>
      <c r="W72" s="25"/>
      <c r="X72" s="25">
        <v>27280.09</v>
      </c>
    </row>
    <row r="73" spans="1:24" ht="15.75" customHeight="1" x14ac:dyDescent="0.35">
      <c r="A73" s="10" t="s">
        <v>359</v>
      </c>
      <c r="B73" s="23">
        <v>102098.44</v>
      </c>
      <c r="C73" s="25">
        <f t="shared" si="0"/>
        <v>5442.49</v>
      </c>
      <c r="D73" s="25"/>
      <c r="E73" s="25"/>
      <c r="F73" s="25"/>
      <c r="G73" s="25"/>
      <c r="H73" s="25"/>
      <c r="I73" s="25"/>
      <c r="J73" s="25">
        <v>3049.49</v>
      </c>
      <c r="K73" s="25"/>
      <c r="L73" s="25">
        <v>2393</v>
      </c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5"/>
      <c r="X73" s="25"/>
    </row>
    <row r="74" spans="1:24" ht="15.75" customHeight="1" x14ac:dyDescent="0.35">
      <c r="A74" s="10" t="s">
        <v>358</v>
      </c>
      <c r="B74" s="23">
        <v>103675.76</v>
      </c>
      <c r="C74" s="25">
        <f t="shared" si="0"/>
        <v>53185.36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>
        <v>6633.2</v>
      </c>
      <c r="R74" s="25"/>
      <c r="S74" s="25"/>
      <c r="T74" s="25"/>
      <c r="U74" s="25"/>
      <c r="V74" s="26"/>
      <c r="W74" s="25"/>
      <c r="X74" s="25">
        <v>46552.160000000003</v>
      </c>
    </row>
    <row r="75" spans="1:24" ht="15.75" customHeight="1" x14ac:dyDescent="0.35">
      <c r="A75" s="10" t="s">
        <v>357</v>
      </c>
      <c r="B75" s="23">
        <v>59067.6</v>
      </c>
      <c r="C75" s="25">
        <f t="shared" si="0"/>
        <v>8102.93</v>
      </c>
      <c r="D75" s="25"/>
      <c r="E75" s="25"/>
      <c r="F75" s="25"/>
      <c r="G75" s="25"/>
      <c r="H75" s="25"/>
      <c r="I75" s="25"/>
      <c r="J75" s="25"/>
      <c r="K75" s="25"/>
      <c r="L75" s="25">
        <v>1402.49</v>
      </c>
      <c r="M75" s="25"/>
      <c r="N75" s="25">
        <v>919.01</v>
      </c>
      <c r="O75" s="25">
        <v>5781.43</v>
      </c>
      <c r="P75" s="25"/>
      <c r="Q75" s="25"/>
      <c r="R75" s="25"/>
      <c r="S75" s="25"/>
      <c r="T75" s="25"/>
      <c r="U75" s="25"/>
      <c r="V75" s="26"/>
      <c r="W75" s="25"/>
      <c r="X75" s="25"/>
    </row>
    <row r="76" spans="1:24" ht="15.75" customHeight="1" x14ac:dyDescent="0.35">
      <c r="A76" s="10" t="s">
        <v>356</v>
      </c>
      <c r="B76" s="23">
        <v>22425.3</v>
      </c>
      <c r="C76" s="25">
        <f t="shared" si="0"/>
        <v>67161.34</v>
      </c>
      <c r="D76" s="25"/>
      <c r="E76" s="25"/>
      <c r="F76" s="25"/>
      <c r="G76" s="25"/>
      <c r="H76" s="25"/>
      <c r="I76" s="25"/>
      <c r="J76" s="25">
        <v>2066.36</v>
      </c>
      <c r="K76" s="25"/>
      <c r="L76" s="25"/>
      <c r="M76" s="25"/>
      <c r="N76" s="25"/>
      <c r="O76" s="25"/>
      <c r="P76" s="25"/>
      <c r="Q76" s="25"/>
      <c r="R76" s="25">
        <v>1812</v>
      </c>
      <c r="S76" s="25">
        <v>731.01</v>
      </c>
      <c r="T76" s="25">
        <v>1391.77</v>
      </c>
      <c r="U76" s="25"/>
      <c r="V76" s="26"/>
      <c r="W76" s="25"/>
      <c r="X76" s="25">
        <v>61160.2</v>
      </c>
    </row>
    <row r="77" spans="1:24" ht="15.75" customHeight="1" x14ac:dyDescent="0.35">
      <c r="A77" s="10" t="s">
        <v>355</v>
      </c>
      <c r="B77" s="23">
        <v>94463.22</v>
      </c>
      <c r="C77" s="25">
        <f t="shared" si="0"/>
        <v>83413.850000000006</v>
      </c>
      <c r="D77" s="25"/>
      <c r="E77" s="25"/>
      <c r="F77" s="25"/>
      <c r="G77" s="25"/>
      <c r="H77" s="25"/>
      <c r="I77" s="25"/>
      <c r="J77" s="25">
        <v>2018</v>
      </c>
      <c r="K77" s="25"/>
      <c r="L77" s="25"/>
      <c r="M77" s="25"/>
      <c r="N77" s="25"/>
      <c r="O77" s="25"/>
      <c r="P77" s="25"/>
      <c r="Q77" s="25"/>
      <c r="R77" s="25"/>
      <c r="S77" s="25"/>
      <c r="T77" s="25">
        <f>1159.81+1361</f>
        <v>2520.81</v>
      </c>
      <c r="U77" s="25">
        <v>1434.79</v>
      </c>
      <c r="V77" s="26"/>
      <c r="W77" s="25"/>
      <c r="X77" s="25">
        <v>77440.25</v>
      </c>
    </row>
    <row r="78" spans="1:24" ht="15.75" customHeight="1" x14ac:dyDescent="0.35">
      <c r="A78" s="10" t="s">
        <v>354</v>
      </c>
      <c r="B78" s="23">
        <v>35563.96</v>
      </c>
      <c r="C78" s="25">
        <f t="shared" ref="C78:C141" si="1">D78+E78+G78+H78+I78+J78+K78+L78+N78+O78+P78+Q78+R78+S78+T78+U78+V78+W78+X78+F78</f>
        <v>0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6"/>
      <c r="W78" s="25"/>
      <c r="X78" s="25"/>
    </row>
    <row r="79" spans="1:24" ht="15.75" customHeight="1" x14ac:dyDescent="0.35">
      <c r="A79" s="10" t="s">
        <v>353</v>
      </c>
      <c r="B79" s="23">
        <v>99885.69</v>
      </c>
      <c r="C79" s="25">
        <f t="shared" si="1"/>
        <v>120506.84000000001</v>
      </c>
      <c r="D79" s="25"/>
      <c r="E79" s="25"/>
      <c r="F79" s="25"/>
      <c r="G79" s="25"/>
      <c r="H79" s="25">
        <v>80553</v>
      </c>
      <c r="I79" s="25"/>
      <c r="J79" s="25"/>
      <c r="K79" s="25"/>
      <c r="L79" s="25">
        <v>1795</v>
      </c>
      <c r="M79" s="25"/>
      <c r="N79" s="25"/>
      <c r="O79" s="25"/>
      <c r="P79" s="25"/>
      <c r="Q79" s="25"/>
      <c r="R79" s="25"/>
      <c r="S79" s="25"/>
      <c r="T79" s="25"/>
      <c r="U79" s="25">
        <v>37293.32</v>
      </c>
      <c r="V79" s="26">
        <v>865.52</v>
      </c>
      <c r="W79" s="25"/>
      <c r="X79" s="25"/>
    </row>
    <row r="80" spans="1:24" s="7" customFormat="1" ht="15.75" customHeight="1" x14ac:dyDescent="0.35">
      <c r="A80" s="10" t="s">
        <v>352</v>
      </c>
      <c r="B80" s="23">
        <v>269655.34000000003</v>
      </c>
      <c r="C80" s="25">
        <f t="shared" si="1"/>
        <v>48703.4</v>
      </c>
      <c r="D80" s="25"/>
      <c r="E80" s="25"/>
      <c r="F80" s="25"/>
      <c r="G80" s="25"/>
      <c r="H80" s="25"/>
      <c r="I80" s="25"/>
      <c r="J80" s="25">
        <v>1236.94</v>
      </c>
      <c r="K80" s="25"/>
      <c r="L80" s="25"/>
      <c r="M80" s="25"/>
      <c r="N80" s="25">
        <v>11318.16</v>
      </c>
      <c r="O80" s="25">
        <v>13750.67</v>
      </c>
      <c r="P80" s="25"/>
      <c r="Q80" s="25">
        <v>20982.11</v>
      </c>
      <c r="R80" s="25"/>
      <c r="S80" s="25"/>
      <c r="T80" s="25"/>
      <c r="U80" s="25">
        <v>550</v>
      </c>
      <c r="V80" s="26">
        <v>865.52</v>
      </c>
      <c r="W80" s="25"/>
      <c r="X80" s="25"/>
    </row>
    <row r="81" spans="1:24" s="7" customFormat="1" ht="15.75" customHeight="1" x14ac:dyDescent="0.35">
      <c r="A81" s="10" t="s">
        <v>351</v>
      </c>
      <c r="B81" s="23">
        <v>270371.61</v>
      </c>
      <c r="C81" s="25">
        <f t="shared" si="1"/>
        <v>70028.736000000004</v>
      </c>
      <c r="D81" s="25"/>
      <c r="E81" s="25"/>
      <c r="F81" s="25"/>
      <c r="G81" s="25"/>
      <c r="H81" s="25"/>
      <c r="I81" s="25"/>
      <c r="J81" s="25">
        <f>1306+1505.49</f>
        <v>2811.49</v>
      </c>
      <c r="K81" s="25">
        <v>376.48</v>
      </c>
      <c r="L81" s="25"/>
      <c r="M81" s="25"/>
      <c r="N81" s="25">
        <v>2621</v>
      </c>
      <c r="O81" s="25"/>
      <c r="P81" s="25"/>
      <c r="Q81" s="25">
        <f>8613.47+2321.166+3410+5894.9</f>
        <v>20239.536</v>
      </c>
      <c r="R81" s="25"/>
      <c r="S81" s="25"/>
      <c r="T81" s="25">
        <v>2523</v>
      </c>
      <c r="U81" s="25">
        <v>40591.71</v>
      </c>
      <c r="V81" s="26">
        <v>865.52</v>
      </c>
      <c r="W81" s="25"/>
      <c r="X81" s="25"/>
    </row>
    <row r="82" spans="1:24" s="7" customFormat="1" ht="15.75" customHeight="1" x14ac:dyDescent="0.35">
      <c r="A82" s="10" t="s">
        <v>350</v>
      </c>
      <c r="B82" s="23">
        <v>325864.71999999997</v>
      </c>
      <c r="C82" s="25">
        <f t="shared" si="1"/>
        <v>109509.417</v>
      </c>
      <c r="D82" s="25"/>
      <c r="E82" s="25"/>
      <c r="F82" s="25"/>
      <c r="G82" s="25">
        <f>95315.04+1230+2217.22</f>
        <v>98762.26</v>
      </c>
      <c r="H82" s="25"/>
      <c r="I82" s="25"/>
      <c r="J82" s="25">
        <f>1517.26+1130.44</f>
        <v>2647.7</v>
      </c>
      <c r="K82" s="25"/>
      <c r="L82" s="25"/>
      <c r="M82" s="25">
        <v>16834.41</v>
      </c>
      <c r="N82" s="25"/>
      <c r="O82" s="25"/>
      <c r="P82" s="25"/>
      <c r="Q82" s="25"/>
      <c r="R82" s="25"/>
      <c r="S82" s="25"/>
      <c r="T82" s="25">
        <f>114.755+1000.86</f>
        <v>1115.615</v>
      </c>
      <c r="U82" s="25">
        <f>6634.35+349.492</f>
        <v>6983.8420000000006</v>
      </c>
      <c r="V82" s="26"/>
      <c r="W82" s="25"/>
      <c r="X82" s="25"/>
    </row>
    <row r="83" spans="1:24" s="7" customFormat="1" ht="15.75" customHeight="1" x14ac:dyDescent="0.35">
      <c r="A83" s="11" t="s">
        <v>349</v>
      </c>
      <c r="B83" s="23">
        <v>176999.04000000001</v>
      </c>
      <c r="C83" s="25">
        <f t="shared" si="1"/>
        <v>57570.58</v>
      </c>
      <c r="D83" s="25"/>
      <c r="E83" s="25"/>
      <c r="F83" s="25"/>
      <c r="G83" s="25"/>
      <c r="H83" s="25"/>
      <c r="I83" s="25"/>
      <c r="J83" s="25">
        <f>25940.4+5238</f>
        <v>31178.400000000001</v>
      </c>
      <c r="K83" s="25">
        <f>376.48+376.48+19814</f>
        <v>20566.96</v>
      </c>
      <c r="L83" s="25"/>
      <c r="M83" s="25"/>
      <c r="N83" s="25"/>
      <c r="O83" s="25"/>
      <c r="P83" s="25"/>
      <c r="Q83" s="25"/>
      <c r="R83" s="25"/>
      <c r="S83" s="25"/>
      <c r="T83" s="25"/>
      <c r="U83" s="25">
        <v>5825.22</v>
      </c>
      <c r="V83" s="26"/>
      <c r="W83" s="25"/>
      <c r="X83" s="25"/>
    </row>
    <row r="84" spans="1:24" s="7" customFormat="1" ht="15.75" customHeight="1" x14ac:dyDescent="0.35">
      <c r="A84" s="11" t="s">
        <v>348</v>
      </c>
      <c r="B84" s="23">
        <v>174312.72</v>
      </c>
      <c r="C84" s="25">
        <f t="shared" si="1"/>
        <v>40626.539999999994</v>
      </c>
      <c r="D84" s="25"/>
      <c r="E84" s="25"/>
      <c r="F84" s="25"/>
      <c r="G84" s="25">
        <v>2555.09</v>
      </c>
      <c r="H84" s="25"/>
      <c r="I84" s="25"/>
      <c r="J84" s="25"/>
      <c r="K84" s="25">
        <v>376.48</v>
      </c>
      <c r="L84" s="25">
        <f>160.07+8497.14</f>
        <v>8657.2099999999991</v>
      </c>
      <c r="M84" s="25"/>
      <c r="N84" s="25"/>
      <c r="O84" s="25">
        <v>1101</v>
      </c>
      <c r="P84" s="25"/>
      <c r="Q84" s="25">
        <v>889.3</v>
      </c>
      <c r="R84" s="25"/>
      <c r="S84" s="25"/>
      <c r="T84" s="25"/>
      <c r="U84" s="25"/>
      <c r="V84" s="26"/>
      <c r="W84" s="25">
        <v>27047.46</v>
      </c>
      <c r="X84" s="25"/>
    </row>
    <row r="85" spans="1:24" s="7" customFormat="1" ht="15.75" customHeight="1" x14ac:dyDescent="0.35">
      <c r="A85" s="11" t="s">
        <v>1</v>
      </c>
      <c r="B85" s="23">
        <v>52073.88</v>
      </c>
      <c r="C85" s="25">
        <f t="shared" si="1"/>
        <v>5801.07</v>
      </c>
      <c r="D85" s="25"/>
      <c r="E85" s="25"/>
      <c r="F85" s="25"/>
      <c r="G85" s="25"/>
      <c r="H85" s="25"/>
      <c r="I85" s="25"/>
      <c r="J85" s="25"/>
      <c r="K85" s="25"/>
      <c r="L85" s="25">
        <v>1139.05</v>
      </c>
      <c r="M85" s="25"/>
      <c r="N85" s="25"/>
      <c r="O85" s="25">
        <v>2921.02</v>
      </c>
      <c r="P85" s="25"/>
      <c r="Q85" s="25">
        <v>1741</v>
      </c>
      <c r="R85" s="25"/>
      <c r="S85" s="25"/>
      <c r="T85" s="25"/>
      <c r="U85" s="25"/>
      <c r="V85" s="26"/>
      <c r="W85" s="25"/>
      <c r="X85" s="25"/>
    </row>
    <row r="86" spans="1:24" ht="15.75" customHeight="1" x14ac:dyDescent="0.35">
      <c r="A86" s="11" t="s">
        <v>347</v>
      </c>
      <c r="B86" s="23">
        <v>73322.399999999994</v>
      </c>
      <c r="C86" s="25">
        <f t="shared" si="1"/>
        <v>765.63</v>
      </c>
      <c r="D86" s="25"/>
      <c r="E86" s="25"/>
      <c r="F86" s="25"/>
      <c r="G86" s="25"/>
      <c r="H86" s="25"/>
      <c r="I86" s="25"/>
      <c r="J86" s="25">
        <v>765.63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6"/>
      <c r="W86" s="25"/>
      <c r="X86" s="25"/>
    </row>
    <row r="87" spans="1:24" s="7" customFormat="1" ht="15.75" customHeight="1" x14ac:dyDescent="0.35">
      <c r="A87" s="11" t="s">
        <v>346</v>
      </c>
      <c r="B87" s="23">
        <v>114970.56</v>
      </c>
      <c r="C87" s="25">
        <f t="shared" si="1"/>
        <v>9758.3770000000004</v>
      </c>
      <c r="D87" s="25"/>
      <c r="E87" s="25"/>
      <c r="F87" s="25"/>
      <c r="G87" s="25"/>
      <c r="H87" s="25"/>
      <c r="I87" s="25"/>
      <c r="J87" s="25">
        <v>3938.91</v>
      </c>
      <c r="K87" s="25"/>
      <c r="L87" s="25"/>
      <c r="M87" s="25"/>
      <c r="N87" s="25"/>
      <c r="O87" s="25"/>
      <c r="P87" s="25"/>
      <c r="Q87" s="25">
        <v>775</v>
      </c>
      <c r="R87" s="25"/>
      <c r="S87" s="25"/>
      <c r="T87" s="25"/>
      <c r="U87" s="25">
        <f>496.107+4189.63</f>
        <v>4685.7370000000001</v>
      </c>
      <c r="V87" s="26">
        <v>358.73</v>
      </c>
      <c r="W87" s="25"/>
      <c r="X87" s="25"/>
    </row>
    <row r="88" spans="1:24" ht="15.75" customHeight="1" x14ac:dyDescent="0.35">
      <c r="A88" s="11" t="s">
        <v>345</v>
      </c>
      <c r="B88" s="23">
        <v>146320.20000000001</v>
      </c>
      <c r="C88" s="25">
        <f t="shared" si="1"/>
        <v>14333.6</v>
      </c>
      <c r="D88" s="25"/>
      <c r="E88" s="25"/>
      <c r="F88" s="25"/>
      <c r="G88" s="25"/>
      <c r="H88" s="25"/>
      <c r="I88" s="25"/>
      <c r="J88" s="25"/>
      <c r="K88" s="25"/>
      <c r="L88" s="25">
        <v>7496</v>
      </c>
      <c r="M88" s="25"/>
      <c r="N88" s="25"/>
      <c r="O88" s="25"/>
      <c r="P88" s="25"/>
      <c r="Q88" s="25"/>
      <c r="R88" s="25"/>
      <c r="S88" s="25">
        <v>6837.6</v>
      </c>
      <c r="T88" s="25"/>
      <c r="U88" s="25"/>
      <c r="V88" s="26"/>
      <c r="W88" s="25"/>
      <c r="X88" s="25"/>
    </row>
    <row r="89" spans="1:24" s="7" customFormat="1" ht="15.75" customHeight="1" x14ac:dyDescent="0.35">
      <c r="A89" s="11" t="s">
        <v>344</v>
      </c>
      <c r="B89" s="23">
        <v>293923.8</v>
      </c>
      <c r="C89" s="25">
        <f t="shared" si="1"/>
        <v>19944.300000000003</v>
      </c>
      <c r="D89" s="25"/>
      <c r="E89" s="25"/>
      <c r="F89" s="25"/>
      <c r="G89" s="25"/>
      <c r="H89" s="25"/>
      <c r="I89" s="25"/>
      <c r="J89" s="25">
        <v>2947.36</v>
      </c>
      <c r="K89" s="25"/>
      <c r="L89" s="25"/>
      <c r="M89" s="25"/>
      <c r="N89" s="25"/>
      <c r="O89" s="25"/>
      <c r="P89" s="25"/>
      <c r="Q89" s="25">
        <v>6090</v>
      </c>
      <c r="R89" s="25"/>
      <c r="S89" s="25">
        <v>5879.09</v>
      </c>
      <c r="T89" s="25">
        <v>578.79</v>
      </c>
      <c r="U89" s="25">
        <v>2517.86</v>
      </c>
      <c r="V89" s="26">
        <v>1931.2</v>
      </c>
      <c r="W89" s="25"/>
      <c r="X89" s="25"/>
    </row>
    <row r="90" spans="1:24" ht="15.75" customHeight="1" x14ac:dyDescent="0.35">
      <c r="A90" s="11" t="s">
        <v>343</v>
      </c>
      <c r="B90" s="23">
        <v>81984.960000000006</v>
      </c>
      <c r="C90" s="25">
        <f t="shared" si="1"/>
        <v>43610.36</v>
      </c>
      <c r="D90" s="25"/>
      <c r="E90" s="25"/>
      <c r="F90" s="25"/>
      <c r="G90" s="25">
        <v>1315.36</v>
      </c>
      <c r="H90" s="25"/>
      <c r="I90" s="25"/>
      <c r="J90" s="25">
        <v>1608.34</v>
      </c>
      <c r="K90" s="25"/>
      <c r="L90" s="25"/>
      <c r="M90" s="25"/>
      <c r="N90" s="25"/>
      <c r="O90" s="25"/>
      <c r="P90" s="25"/>
      <c r="Q90" s="25">
        <f>1781+7975.62</f>
        <v>9756.619999999999</v>
      </c>
      <c r="R90" s="25">
        <v>24756.6</v>
      </c>
      <c r="S90" s="25">
        <v>2767.1</v>
      </c>
      <c r="T90" s="25">
        <v>1010.48</v>
      </c>
      <c r="U90" s="25">
        <v>2395.86</v>
      </c>
      <c r="V90" s="26"/>
      <c r="W90" s="25"/>
      <c r="X90" s="25"/>
    </row>
    <row r="91" spans="1:24" s="46" customFormat="1" ht="15.75" customHeight="1" x14ac:dyDescent="0.35">
      <c r="A91" s="11" t="s">
        <v>342</v>
      </c>
      <c r="B91" s="23">
        <v>302482.44</v>
      </c>
      <c r="C91" s="25">
        <f t="shared" si="1"/>
        <v>4962.87</v>
      </c>
      <c r="D91" s="25">
        <v>2828</v>
      </c>
      <c r="E91" s="25"/>
      <c r="F91" s="25"/>
      <c r="G91" s="25">
        <v>654.26</v>
      </c>
      <c r="H91" s="25"/>
      <c r="I91" s="25"/>
      <c r="J91" s="25">
        <f>109.61+1371</f>
        <v>1480.61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6"/>
      <c r="W91" s="25"/>
      <c r="X91" s="25"/>
    </row>
    <row r="92" spans="1:24" s="7" customFormat="1" ht="15.75" customHeight="1" x14ac:dyDescent="0.35">
      <c r="A92" s="11" t="s">
        <v>341</v>
      </c>
      <c r="B92" s="23">
        <v>275429.76000000001</v>
      </c>
      <c r="C92" s="25">
        <f t="shared" si="1"/>
        <v>326073.88899999997</v>
      </c>
      <c r="D92" s="25">
        <v>6635.14</v>
      </c>
      <c r="E92" s="25"/>
      <c r="F92" s="25"/>
      <c r="G92" s="25">
        <v>25479.5</v>
      </c>
      <c r="H92" s="25"/>
      <c r="I92" s="25"/>
      <c r="J92" s="25">
        <f>6598.42+993.56</f>
        <v>7591.98</v>
      </c>
      <c r="K92" s="25">
        <v>752.94600000000003</v>
      </c>
      <c r="L92" s="25">
        <v>6807.9</v>
      </c>
      <c r="M92" s="25"/>
      <c r="N92" s="25"/>
      <c r="O92" s="25"/>
      <c r="P92" s="25"/>
      <c r="Q92" s="25">
        <f>14781.6+10343.08+751.259+1183.87+8530</f>
        <v>35589.808999999994</v>
      </c>
      <c r="R92" s="25"/>
      <c r="S92" s="25">
        <f>12421.33+2134</f>
        <v>14555.33</v>
      </c>
      <c r="T92" s="25">
        <v>496.10700000000003</v>
      </c>
      <c r="U92" s="25">
        <v>244.43700000000001</v>
      </c>
      <c r="V92" s="26"/>
      <c r="W92" s="25"/>
      <c r="X92" s="25">
        <v>227920.74</v>
      </c>
    </row>
    <row r="93" spans="1:24" ht="15.75" customHeight="1" x14ac:dyDescent="0.35">
      <c r="A93" s="11" t="s">
        <v>340</v>
      </c>
      <c r="B93" s="23">
        <v>46585.56</v>
      </c>
      <c r="C93" s="25">
        <f t="shared" si="1"/>
        <v>47726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>
        <v>3176.86</v>
      </c>
      <c r="R93" s="25"/>
      <c r="S93" s="25"/>
      <c r="T93" s="25"/>
      <c r="U93" s="25">
        <v>3717</v>
      </c>
      <c r="V93" s="26"/>
      <c r="W93" s="25"/>
      <c r="X93" s="25">
        <v>40832.14</v>
      </c>
    </row>
    <row r="94" spans="1:24" ht="15.75" customHeight="1" x14ac:dyDescent="0.35">
      <c r="A94" s="11" t="s">
        <v>339</v>
      </c>
      <c r="B94" s="23">
        <v>47445.24</v>
      </c>
      <c r="C94" s="25">
        <f t="shared" si="1"/>
        <v>115748.14000000001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>
        <f>3963.79+4960</f>
        <v>8923.7900000000009</v>
      </c>
      <c r="R94" s="25"/>
      <c r="S94" s="25">
        <v>784</v>
      </c>
      <c r="T94" s="25"/>
      <c r="U94" s="25"/>
      <c r="V94" s="26"/>
      <c r="W94" s="25"/>
      <c r="X94" s="25">
        <v>106040.35</v>
      </c>
    </row>
    <row r="95" spans="1:24" s="7" customFormat="1" ht="15.75" customHeight="1" x14ac:dyDescent="0.35">
      <c r="A95" s="11" t="s">
        <v>338</v>
      </c>
      <c r="B95" s="23">
        <v>442581.6</v>
      </c>
      <c r="C95" s="25">
        <f t="shared" si="1"/>
        <v>663993.12699999998</v>
      </c>
      <c r="D95" s="25"/>
      <c r="E95" s="25"/>
      <c r="F95" s="25"/>
      <c r="G95" s="25">
        <v>9422.5499999999993</v>
      </c>
      <c r="H95" s="25">
        <v>143276.1</v>
      </c>
      <c r="I95" s="25"/>
      <c r="J95" s="25">
        <f>7781.85+382.816</f>
        <v>8164.6660000000002</v>
      </c>
      <c r="K95" s="25"/>
      <c r="L95" s="25"/>
      <c r="M95" s="25"/>
      <c r="N95" s="25"/>
      <c r="O95" s="25"/>
      <c r="P95" s="25"/>
      <c r="Q95" s="25">
        <f>117558+12581.1+34739</f>
        <v>164878.1</v>
      </c>
      <c r="R95" s="25"/>
      <c r="S95" s="25">
        <v>474.63099999999997</v>
      </c>
      <c r="T95" s="25">
        <v>6808</v>
      </c>
      <c r="U95" s="25"/>
      <c r="V95" s="26"/>
      <c r="W95" s="25"/>
      <c r="X95" s="25">
        <v>330969.08</v>
      </c>
    </row>
    <row r="96" spans="1:24" s="7" customFormat="1" ht="15.75" customHeight="1" x14ac:dyDescent="0.35">
      <c r="A96" s="11" t="s">
        <v>337</v>
      </c>
      <c r="B96" s="23">
        <v>222339.48</v>
      </c>
      <c r="C96" s="25">
        <f t="shared" si="1"/>
        <v>8266.4169999999995</v>
      </c>
      <c r="D96" s="25"/>
      <c r="E96" s="25"/>
      <c r="F96" s="25"/>
      <c r="G96" s="25"/>
      <c r="H96" s="25"/>
      <c r="I96" s="25"/>
      <c r="J96" s="25">
        <f>2181.74+565</f>
        <v>2746.74</v>
      </c>
      <c r="K96" s="25"/>
      <c r="L96" s="25"/>
      <c r="M96" s="25"/>
      <c r="N96" s="25"/>
      <c r="O96" s="25"/>
      <c r="P96" s="25"/>
      <c r="Q96" s="25"/>
      <c r="R96" s="25"/>
      <c r="S96" s="25">
        <v>4566.32</v>
      </c>
      <c r="T96" s="25">
        <v>578.79</v>
      </c>
      <c r="U96" s="25">
        <v>374.56700000000001</v>
      </c>
      <c r="V96" s="26"/>
      <c r="W96" s="25"/>
      <c r="X96" s="25"/>
    </row>
    <row r="97" spans="1:24" ht="15.75" customHeight="1" x14ac:dyDescent="0.35">
      <c r="A97" s="11" t="s">
        <v>336</v>
      </c>
      <c r="B97" s="23">
        <v>156409.20000000001</v>
      </c>
      <c r="C97" s="25">
        <f t="shared" si="1"/>
        <v>227306.87400000001</v>
      </c>
      <c r="D97" s="25"/>
      <c r="E97" s="25"/>
      <c r="F97" s="25"/>
      <c r="G97" s="25"/>
      <c r="H97" s="25">
        <v>73471</v>
      </c>
      <c r="I97" s="25"/>
      <c r="J97" s="25">
        <v>1265.6600000000001</v>
      </c>
      <c r="K97" s="25"/>
      <c r="L97" s="25">
        <v>19226</v>
      </c>
      <c r="M97" s="25"/>
      <c r="N97" s="25">
        <f>11835.45+8980</f>
        <v>20815.45</v>
      </c>
      <c r="O97" s="25"/>
      <c r="P97" s="25"/>
      <c r="Q97" s="25"/>
      <c r="R97" s="25"/>
      <c r="S97" s="25"/>
      <c r="T97" s="25">
        <f>496.107+5193.89+1522</f>
        <v>7211.9970000000003</v>
      </c>
      <c r="U97" s="25">
        <v>244.43700000000001</v>
      </c>
      <c r="V97" s="26"/>
      <c r="W97" s="25"/>
      <c r="X97" s="25">
        <v>105072.33</v>
      </c>
    </row>
    <row r="98" spans="1:24" ht="15.75" customHeight="1" x14ac:dyDescent="0.35">
      <c r="A98" s="11" t="s">
        <v>335</v>
      </c>
      <c r="B98" s="23">
        <v>239022.24</v>
      </c>
      <c r="C98" s="25">
        <f t="shared" si="1"/>
        <v>556240.61</v>
      </c>
      <c r="D98" s="25"/>
      <c r="E98" s="25"/>
      <c r="F98" s="25">
        <v>376208</v>
      </c>
      <c r="G98" s="25"/>
      <c r="H98" s="25"/>
      <c r="I98" s="25"/>
      <c r="J98" s="25"/>
      <c r="K98" s="25"/>
      <c r="L98" s="25">
        <f>5196.4+3257</f>
        <v>8453.4</v>
      </c>
      <c r="M98" s="25"/>
      <c r="N98" s="25">
        <v>4201</v>
      </c>
      <c r="O98" s="25"/>
      <c r="P98" s="25"/>
      <c r="Q98" s="25">
        <v>14103</v>
      </c>
      <c r="R98" s="25">
        <v>13944.1</v>
      </c>
      <c r="S98" s="25">
        <f>7079.2+691.48</f>
        <v>7770.68</v>
      </c>
      <c r="T98" s="25"/>
      <c r="U98" s="25"/>
      <c r="V98" s="26"/>
      <c r="W98" s="25"/>
      <c r="X98" s="25">
        <v>131560.43</v>
      </c>
    </row>
    <row r="99" spans="1:24" ht="15.75" customHeight="1" x14ac:dyDescent="0.35">
      <c r="A99" s="11" t="s">
        <v>334</v>
      </c>
      <c r="B99" s="23">
        <v>97011.72</v>
      </c>
      <c r="C99" s="25">
        <f t="shared" si="1"/>
        <v>124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>
        <v>124</v>
      </c>
      <c r="U99" s="25"/>
      <c r="V99" s="26"/>
      <c r="W99" s="25"/>
      <c r="X99" s="25"/>
    </row>
    <row r="100" spans="1:24" s="7" customFormat="1" ht="15.75" customHeight="1" x14ac:dyDescent="0.35">
      <c r="A100" s="11" t="s">
        <v>333</v>
      </c>
      <c r="B100" s="23">
        <v>441757.68</v>
      </c>
      <c r="C100" s="25">
        <f t="shared" si="1"/>
        <v>94874.852000000014</v>
      </c>
      <c r="D100" s="25"/>
      <c r="E100" s="25"/>
      <c r="F100" s="25"/>
      <c r="G100" s="25">
        <f>5961.87+9709.25+15353.8</f>
        <v>31024.92</v>
      </c>
      <c r="H100" s="25"/>
      <c r="I100" s="25"/>
      <c r="J100" s="25">
        <v>3899.9</v>
      </c>
      <c r="K100" s="25">
        <v>376.48</v>
      </c>
      <c r="L100" s="25">
        <v>3257</v>
      </c>
      <c r="M100" s="25"/>
      <c r="N100" s="25">
        <v>3442.1779999999999</v>
      </c>
      <c r="O100" s="25"/>
      <c r="P100" s="25"/>
      <c r="Q100" s="25">
        <v>10828.86</v>
      </c>
      <c r="R100" s="25">
        <v>2787</v>
      </c>
      <c r="S100" s="25">
        <v>15446.19</v>
      </c>
      <c r="T100" s="25">
        <f>432.659+9957</f>
        <v>10389.659</v>
      </c>
      <c r="U100" s="25">
        <f>9820.62+562.105</f>
        <v>10382.725</v>
      </c>
      <c r="V100" s="26">
        <f>1108.74+1931.2</f>
        <v>3039.94</v>
      </c>
      <c r="W100" s="25"/>
      <c r="X100" s="25"/>
    </row>
    <row r="101" spans="1:24" s="7" customFormat="1" ht="15.75" customHeight="1" x14ac:dyDescent="0.35">
      <c r="A101" s="10" t="s">
        <v>332</v>
      </c>
      <c r="B101" s="23">
        <v>476923.8</v>
      </c>
      <c r="C101" s="25">
        <f t="shared" si="1"/>
        <v>16533.14</v>
      </c>
      <c r="D101" s="25"/>
      <c r="E101" s="25"/>
      <c r="F101" s="25"/>
      <c r="G101" s="25">
        <f>627.68+9422</f>
        <v>10049.68</v>
      </c>
      <c r="H101" s="25"/>
      <c r="I101" s="25"/>
      <c r="J101" s="25">
        <v>1574.84</v>
      </c>
      <c r="K101" s="25">
        <v>2122.1</v>
      </c>
      <c r="L101" s="25"/>
      <c r="M101" s="25"/>
      <c r="N101" s="25"/>
      <c r="O101" s="25"/>
      <c r="P101" s="25"/>
      <c r="Q101" s="25">
        <v>2719.52</v>
      </c>
      <c r="R101" s="25"/>
      <c r="S101" s="25"/>
      <c r="T101" s="25">
        <v>67</v>
      </c>
      <c r="U101" s="25"/>
      <c r="V101" s="26"/>
      <c r="W101" s="25"/>
      <c r="X101" s="25"/>
    </row>
    <row r="102" spans="1:24" ht="15.75" customHeight="1" x14ac:dyDescent="0.35">
      <c r="A102" s="10" t="s">
        <v>331</v>
      </c>
      <c r="B102" s="23">
        <v>211904.84</v>
      </c>
      <c r="C102" s="25">
        <f t="shared" si="1"/>
        <v>171053.29</v>
      </c>
      <c r="D102" s="25">
        <v>7675</v>
      </c>
      <c r="E102" s="25"/>
      <c r="F102" s="25"/>
      <c r="G102" s="25">
        <v>153901</v>
      </c>
      <c r="H102" s="25"/>
      <c r="I102" s="25"/>
      <c r="J102" s="25">
        <f>88.46+2279.39+4823</f>
        <v>7190.85</v>
      </c>
      <c r="K102" s="25"/>
      <c r="L102" s="25">
        <v>1795</v>
      </c>
      <c r="M102" s="25"/>
      <c r="N102" s="25"/>
      <c r="O102" s="25"/>
      <c r="P102" s="25"/>
      <c r="Q102" s="25"/>
      <c r="R102" s="25"/>
      <c r="S102" s="25"/>
      <c r="T102" s="25">
        <v>491.44</v>
      </c>
      <c r="U102" s="25"/>
      <c r="V102" s="26"/>
      <c r="W102" s="25"/>
      <c r="X102" s="25"/>
    </row>
    <row r="103" spans="1:24" ht="15.75" customHeight="1" x14ac:dyDescent="0.35">
      <c r="A103" s="10" t="s">
        <v>330</v>
      </c>
      <c r="B103" s="23">
        <v>145363</v>
      </c>
      <c r="C103" s="25">
        <f t="shared" si="1"/>
        <v>223649.51</v>
      </c>
      <c r="D103" s="25"/>
      <c r="E103" s="25"/>
      <c r="F103" s="25">
        <v>204426</v>
      </c>
      <c r="G103" s="25">
        <v>1884.51</v>
      </c>
      <c r="H103" s="25"/>
      <c r="I103" s="25"/>
      <c r="J103" s="25">
        <v>4383</v>
      </c>
      <c r="K103" s="25"/>
      <c r="L103" s="25">
        <v>1795</v>
      </c>
      <c r="M103" s="25"/>
      <c r="N103" s="25"/>
      <c r="O103" s="25"/>
      <c r="P103" s="25"/>
      <c r="Q103" s="25"/>
      <c r="R103" s="25"/>
      <c r="S103" s="25">
        <v>11161</v>
      </c>
      <c r="T103" s="25"/>
      <c r="U103" s="25"/>
      <c r="V103" s="26"/>
      <c r="W103" s="25"/>
      <c r="X103" s="25"/>
    </row>
    <row r="104" spans="1:24" ht="15.75" customHeight="1" x14ac:dyDescent="0.35">
      <c r="A104" s="10" t="s">
        <v>329</v>
      </c>
      <c r="B104" s="23">
        <v>146189.04</v>
      </c>
      <c r="C104" s="25">
        <f t="shared" si="1"/>
        <v>1219</v>
      </c>
      <c r="D104" s="25"/>
      <c r="E104" s="25"/>
      <c r="F104" s="25"/>
      <c r="G104" s="25"/>
      <c r="H104" s="25"/>
      <c r="I104" s="25"/>
      <c r="J104" s="25">
        <v>1219</v>
      </c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6"/>
      <c r="W104" s="25"/>
      <c r="X104" s="25"/>
    </row>
    <row r="105" spans="1:24" ht="15.75" customHeight="1" x14ac:dyDescent="0.35">
      <c r="A105" s="10" t="s">
        <v>328</v>
      </c>
      <c r="B105" s="23">
        <v>135418.49</v>
      </c>
      <c r="C105" s="25">
        <f t="shared" si="1"/>
        <v>210916.91999999998</v>
      </c>
      <c r="D105" s="25"/>
      <c r="E105" s="25"/>
      <c r="F105" s="25">
        <v>193694</v>
      </c>
      <c r="G105" s="25"/>
      <c r="H105" s="25"/>
      <c r="I105" s="25"/>
      <c r="J105" s="25">
        <f>7387.57+1408.92</f>
        <v>8796.49</v>
      </c>
      <c r="K105" s="25">
        <f>752.95+376.48</f>
        <v>1129.43</v>
      </c>
      <c r="L105" s="25"/>
      <c r="M105" s="25"/>
      <c r="N105" s="25"/>
      <c r="O105" s="25"/>
      <c r="P105" s="25"/>
      <c r="Q105" s="25"/>
      <c r="R105" s="25"/>
      <c r="S105" s="25"/>
      <c r="T105" s="25"/>
      <c r="U105" s="25">
        <v>7297</v>
      </c>
      <c r="V105" s="26"/>
      <c r="W105" s="25"/>
      <c r="X105" s="25"/>
    </row>
    <row r="106" spans="1:24" ht="15.75" customHeight="1" x14ac:dyDescent="0.35">
      <c r="A106" s="10" t="s">
        <v>327</v>
      </c>
      <c r="B106" s="23">
        <v>139058.75</v>
      </c>
      <c r="C106" s="25">
        <f t="shared" si="1"/>
        <v>10212.09</v>
      </c>
      <c r="D106" s="25"/>
      <c r="E106" s="25"/>
      <c r="F106" s="25"/>
      <c r="G106" s="25"/>
      <c r="H106" s="25"/>
      <c r="I106" s="25"/>
      <c r="J106" s="25">
        <f>734+6930.14</f>
        <v>7664.14</v>
      </c>
      <c r="K106" s="25">
        <v>752.95</v>
      </c>
      <c r="L106" s="25">
        <v>1795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6"/>
      <c r="W106" s="25"/>
      <c r="X106" s="25"/>
    </row>
    <row r="107" spans="1:24" ht="15.75" customHeight="1" x14ac:dyDescent="0.35">
      <c r="A107" s="10" t="s">
        <v>326</v>
      </c>
      <c r="B107" s="23">
        <v>151339.18</v>
      </c>
      <c r="C107" s="25">
        <f t="shared" si="1"/>
        <v>76841.201399999991</v>
      </c>
      <c r="D107" s="25">
        <v>6498.0594000000001</v>
      </c>
      <c r="E107" s="25"/>
      <c r="F107" s="25"/>
      <c r="G107" s="25"/>
      <c r="H107" s="25"/>
      <c r="I107" s="25"/>
      <c r="J107" s="25">
        <f>6485+632.822+2579</f>
        <v>9696.8220000000001</v>
      </c>
      <c r="K107" s="25">
        <v>611</v>
      </c>
      <c r="L107" s="25">
        <v>24744.2</v>
      </c>
      <c r="M107" s="25"/>
      <c r="N107" s="25"/>
      <c r="O107" s="25"/>
      <c r="P107" s="25"/>
      <c r="Q107" s="25">
        <v>23528</v>
      </c>
      <c r="R107" s="25"/>
      <c r="S107" s="25">
        <f>1577.9+1624.92</f>
        <v>3202.82</v>
      </c>
      <c r="T107" s="25"/>
      <c r="U107" s="25">
        <v>6613.9</v>
      </c>
      <c r="V107" s="26">
        <f>865.52+1080.88</f>
        <v>1946.4</v>
      </c>
      <c r="W107" s="25"/>
      <c r="X107" s="25"/>
    </row>
    <row r="108" spans="1:24" ht="15.75" customHeight="1" x14ac:dyDescent="0.35">
      <c r="A108" s="10" t="s">
        <v>322</v>
      </c>
      <c r="B108" s="23">
        <v>97732.09</v>
      </c>
      <c r="C108" s="25">
        <f t="shared" si="1"/>
        <v>51694.649999999994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>
        <v>50302.879999999997</v>
      </c>
      <c r="T108" s="25">
        <v>1391.77</v>
      </c>
      <c r="U108" s="25"/>
      <c r="V108" s="26"/>
      <c r="W108" s="25"/>
      <c r="X108" s="25"/>
    </row>
    <row r="109" spans="1:24" ht="15.75" customHeight="1" x14ac:dyDescent="0.35">
      <c r="A109" s="10" t="s">
        <v>321</v>
      </c>
      <c r="B109" s="23">
        <v>427982.16</v>
      </c>
      <c r="C109" s="25">
        <f t="shared" si="1"/>
        <v>316267.55900000007</v>
      </c>
      <c r="D109" s="25"/>
      <c r="E109" s="25"/>
      <c r="F109" s="25"/>
      <c r="G109" s="25"/>
      <c r="H109" s="25">
        <v>248253</v>
      </c>
      <c r="I109" s="25"/>
      <c r="J109" s="25">
        <f>2639+1957.64+1349.81+7890.88</f>
        <v>13837.330000000002</v>
      </c>
      <c r="K109" s="25">
        <f>1129.4+301+376.479</f>
        <v>1806.8790000000001</v>
      </c>
      <c r="L109" s="25">
        <v>10357.74</v>
      </c>
      <c r="M109" s="25"/>
      <c r="N109" s="25">
        <v>925.12</v>
      </c>
      <c r="O109" s="25"/>
      <c r="P109" s="25">
        <v>8080.64</v>
      </c>
      <c r="Q109" s="25">
        <v>15622.2</v>
      </c>
      <c r="R109" s="25"/>
      <c r="S109" s="25"/>
      <c r="T109" s="25">
        <v>9097.7999999999993</v>
      </c>
      <c r="U109" s="25">
        <v>7854.08</v>
      </c>
      <c r="V109" s="26">
        <v>432.77</v>
      </c>
      <c r="W109" s="25"/>
      <c r="X109" s="25"/>
    </row>
    <row r="110" spans="1:24" s="7" customFormat="1" ht="15.75" customHeight="1" x14ac:dyDescent="0.35">
      <c r="A110" s="11" t="s">
        <v>320</v>
      </c>
      <c r="B110" s="23">
        <v>444847.32</v>
      </c>
      <c r="C110" s="25">
        <f t="shared" si="1"/>
        <v>214264.239</v>
      </c>
      <c r="D110" s="25"/>
      <c r="E110" s="25"/>
      <c r="F110" s="25"/>
      <c r="G110" s="25"/>
      <c r="H110" s="25">
        <v>164699</v>
      </c>
      <c r="I110" s="25"/>
      <c r="J110" s="25">
        <v>3082</v>
      </c>
      <c r="K110" s="25">
        <v>376.47899999999998</v>
      </c>
      <c r="L110" s="25">
        <v>11349.2</v>
      </c>
      <c r="M110" s="25"/>
      <c r="N110" s="25"/>
      <c r="O110" s="25">
        <v>3257</v>
      </c>
      <c r="P110" s="25"/>
      <c r="Q110" s="25">
        <f>7881.9+3551.61+9887.28+3954</f>
        <v>25274.79</v>
      </c>
      <c r="R110" s="25"/>
      <c r="S110" s="25"/>
      <c r="T110" s="25"/>
      <c r="U110" s="25"/>
      <c r="V110" s="26">
        <f>432.77+5793</f>
        <v>6225.77</v>
      </c>
      <c r="W110" s="25"/>
      <c r="X110" s="25"/>
    </row>
    <row r="111" spans="1:24" ht="15.75" customHeight="1" x14ac:dyDescent="0.35">
      <c r="A111" s="11" t="s">
        <v>319</v>
      </c>
      <c r="B111" s="23">
        <v>374589.48</v>
      </c>
      <c r="C111" s="25">
        <f t="shared" si="1"/>
        <v>169456.11</v>
      </c>
      <c r="D111" s="25"/>
      <c r="E111" s="25"/>
      <c r="F111" s="25"/>
      <c r="G111" s="25"/>
      <c r="H111" s="25">
        <v>101872</v>
      </c>
      <c r="I111" s="25"/>
      <c r="J111" s="25">
        <v>18076.2</v>
      </c>
      <c r="K111" s="25"/>
      <c r="L111" s="25"/>
      <c r="M111" s="25"/>
      <c r="N111" s="25">
        <v>16121.16</v>
      </c>
      <c r="O111" s="25">
        <v>19069.98</v>
      </c>
      <c r="P111" s="25"/>
      <c r="Q111" s="25"/>
      <c r="R111" s="25"/>
      <c r="S111" s="25"/>
      <c r="T111" s="25">
        <v>13884</v>
      </c>
      <c r="U111" s="25"/>
      <c r="V111" s="26">
        <v>432.77</v>
      </c>
      <c r="W111" s="25"/>
      <c r="X111" s="25"/>
    </row>
    <row r="112" spans="1:24" s="7" customFormat="1" ht="15.75" customHeight="1" x14ac:dyDescent="0.35">
      <c r="A112" s="11" t="s">
        <v>318</v>
      </c>
      <c r="B112" s="23">
        <v>6506.28</v>
      </c>
      <c r="C112" s="25">
        <f t="shared" si="1"/>
        <v>7337.83</v>
      </c>
      <c r="D112" s="25"/>
      <c r="E112" s="25"/>
      <c r="F112" s="25"/>
      <c r="G112" s="25"/>
      <c r="H112" s="25"/>
      <c r="I112" s="25"/>
      <c r="J112" s="25"/>
      <c r="K112" s="25"/>
      <c r="L112" s="25">
        <v>4158</v>
      </c>
      <c r="M112" s="25"/>
      <c r="N112" s="25"/>
      <c r="O112" s="25"/>
      <c r="P112" s="25"/>
      <c r="Q112" s="25"/>
      <c r="R112" s="25"/>
      <c r="S112" s="25"/>
      <c r="T112" s="25">
        <v>842.07</v>
      </c>
      <c r="U112" s="25">
        <v>1904.99</v>
      </c>
      <c r="V112" s="26">
        <v>432.77</v>
      </c>
      <c r="W112" s="25"/>
      <c r="X112" s="25"/>
    </row>
    <row r="113" spans="1:24" ht="15.75" customHeight="1" x14ac:dyDescent="0.35">
      <c r="A113" s="11" t="s">
        <v>317</v>
      </c>
      <c r="B113" s="23">
        <v>74816.399999999994</v>
      </c>
      <c r="C113" s="25">
        <f t="shared" si="1"/>
        <v>24017.982000000004</v>
      </c>
      <c r="D113" s="25"/>
      <c r="E113" s="25"/>
      <c r="F113" s="25"/>
      <c r="G113" s="25"/>
      <c r="H113" s="25"/>
      <c r="I113" s="25"/>
      <c r="J113" s="25">
        <f>1937.67+3247</f>
        <v>5184.67</v>
      </c>
      <c r="K113" s="25">
        <v>376.48</v>
      </c>
      <c r="L113" s="25"/>
      <c r="M113" s="25"/>
      <c r="N113" s="25"/>
      <c r="O113" s="25"/>
      <c r="P113" s="25"/>
      <c r="Q113" s="25"/>
      <c r="R113" s="25"/>
      <c r="S113" s="25"/>
      <c r="T113" s="25">
        <v>842.072</v>
      </c>
      <c r="U113" s="25"/>
      <c r="V113" s="26">
        <f>432.77+5543.72+10759.27+879</f>
        <v>17614.760000000002</v>
      </c>
      <c r="W113" s="25"/>
      <c r="X113" s="25"/>
    </row>
    <row r="114" spans="1:24" ht="15.75" customHeight="1" x14ac:dyDescent="0.35">
      <c r="A114" s="11" t="s">
        <v>316</v>
      </c>
      <c r="B114" s="23">
        <v>100621.92</v>
      </c>
      <c r="C114" s="25">
        <f t="shared" si="1"/>
        <v>15151.59</v>
      </c>
      <c r="D114" s="25"/>
      <c r="E114" s="25"/>
      <c r="F114" s="25"/>
      <c r="G114" s="25">
        <v>4132.3599999999997</v>
      </c>
      <c r="H114" s="25"/>
      <c r="I114" s="25"/>
      <c r="J114" s="25">
        <f>1138.59+1608.34</f>
        <v>2746.93</v>
      </c>
      <c r="K114" s="25"/>
      <c r="L114" s="25">
        <v>6527.76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6">
        <f>432.77+432.77+879</f>
        <v>1744.54</v>
      </c>
      <c r="W114" s="25"/>
      <c r="X114" s="25"/>
    </row>
    <row r="115" spans="1:24" s="7" customFormat="1" ht="15.75" customHeight="1" x14ac:dyDescent="0.35">
      <c r="A115" s="11" t="s">
        <v>315</v>
      </c>
      <c r="B115" s="23">
        <v>202059.24</v>
      </c>
      <c r="C115" s="25">
        <f t="shared" si="1"/>
        <v>211799.37</v>
      </c>
      <c r="D115" s="25"/>
      <c r="E115" s="25"/>
      <c r="F115" s="25"/>
      <c r="G115" s="25"/>
      <c r="H115" s="25"/>
      <c r="I115" s="25"/>
      <c r="J115" s="25">
        <v>153.71899999999999</v>
      </c>
      <c r="K115" s="25">
        <v>6187.88</v>
      </c>
      <c r="L115" s="25">
        <f>57714.9+10771+3181</f>
        <v>71666.899999999994</v>
      </c>
      <c r="M115" s="25"/>
      <c r="N115" s="25"/>
      <c r="O115" s="25">
        <f>2202.458+5575.035+1313.484</f>
        <v>9090.9770000000008</v>
      </c>
      <c r="P115" s="25"/>
      <c r="Q115" s="25">
        <f>844.384+9453</f>
        <v>10297.384</v>
      </c>
      <c r="R115" s="25"/>
      <c r="S115" s="25">
        <v>111982</v>
      </c>
      <c r="T115" s="25"/>
      <c r="U115" s="25"/>
      <c r="V115" s="26">
        <f>432.77+1108.74+879</f>
        <v>2420.5100000000002</v>
      </c>
      <c r="W115" s="25"/>
      <c r="X115" s="25"/>
    </row>
    <row r="116" spans="1:24" s="7" customFormat="1" ht="15.75" customHeight="1" x14ac:dyDescent="0.35">
      <c r="A116" s="11" t="s">
        <v>314</v>
      </c>
      <c r="B116" s="23">
        <v>169891.44</v>
      </c>
      <c r="C116" s="25">
        <f t="shared" si="1"/>
        <v>155149.51999999999</v>
      </c>
      <c r="D116" s="25">
        <v>3009.93</v>
      </c>
      <c r="E116" s="25"/>
      <c r="F116" s="25"/>
      <c r="G116" s="25"/>
      <c r="H116" s="25"/>
      <c r="I116" s="25"/>
      <c r="J116" s="25">
        <v>13044.41</v>
      </c>
      <c r="K116" s="25"/>
      <c r="L116" s="25"/>
      <c r="M116" s="25"/>
      <c r="N116" s="25"/>
      <c r="O116" s="25"/>
      <c r="P116" s="25"/>
      <c r="Q116" s="25">
        <v>135085.79999999999</v>
      </c>
      <c r="R116" s="25"/>
      <c r="S116" s="25"/>
      <c r="T116" s="25"/>
      <c r="U116" s="25"/>
      <c r="V116" s="26">
        <f>432.77+939.61+2637</f>
        <v>4009.38</v>
      </c>
      <c r="W116" s="25"/>
      <c r="X116" s="25"/>
    </row>
    <row r="117" spans="1:24" s="7" customFormat="1" ht="15.75" customHeight="1" x14ac:dyDescent="0.35">
      <c r="A117" s="11" t="s">
        <v>313</v>
      </c>
      <c r="B117" s="23">
        <v>64800.36</v>
      </c>
      <c r="C117" s="25">
        <f t="shared" si="1"/>
        <v>14428.82</v>
      </c>
      <c r="D117" s="25"/>
      <c r="E117" s="25"/>
      <c r="F117" s="25"/>
      <c r="G117" s="25"/>
      <c r="H117" s="25"/>
      <c r="I117" s="25"/>
      <c r="J117" s="25">
        <v>9272.26</v>
      </c>
      <c r="K117" s="25"/>
      <c r="L117" s="25">
        <v>5156.5600000000004</v>
      </c>
      <c r="M117" s="25"/>
      <c r="N117" s="25"/>
      <c r="O117" s="25"/>
      <c r="P117" s="25"/>
      <c r="Q117" s="25"/>
      <c r="R117" s="25"/>
      <c r="S117" s="25"/>
      <c r="T117" s="25"/>
      <c r="U117" s="25"/>
      <c r="V117" s="26"/>
      <c r="W117" s="25"/>
      <c r="X117" s="25"/>
    </row>
    <row r="118" spans="1:24" s="46" customFormat="1" ht="15.75" customHeight="1" x14ac:dyDescent="0.35">
      <c r="A118" s="11" t="s">
        <v>312</v>
      </c>
      <c r="B118" s="23">
        <v>156210.35999999999</v>
      </c>
      <c r="C118" s="25">
        <f t="shared" si="1"/>
        <v>237460.33000000002</v>
      </c>
      <c r="D118" s="25"/>
      <c r="E118" s="25"/>
      <c r="F118" s="25"/>
      <c r="G118" s="25"/>
      <c r="H118" s="25">
        <v>161654</v>
      </c>
      <c r="I118" s="25"/>
      <c r="J118" s="25">
        <f>7716.37+1601.41+3750.04</f>
        <v>13067.82</v>
      </c>
      <c r="K118" s="25">
        <v>376.48</v>
      </c>
      <c r="L118" s="25"/>
      <c r="M118" s="25"/>
      <c r="N118" s="25"/>
      <c r="O118" s="25">
        <v>32884.58</v>
      </c>
      <c r="P118" s="25"/>
      <c r="Q118" s="25"/>
      <c r="R118" s="25"/>
      <c r="S118" s="25">
        <v>11082.22</v>
      </c>
      <c r="T118" s="25">
        <v>2480.5100000000002</v>
      </c>
      <c r="U118" s="25">
        <v>7630.49</v>
      </c>
      <c r="V118" s="26">
        <f>5976.49+1108.74+1199</f>
        <v>8284.23</v>
      </c>
      <c r="W118" s="25"/>
      <c r="X118" s="25"/>
    </row>
    <row r="119" spans="1:24" s="7" customFormat="1" ht="15.75" customHeight="1" x14ac:dyDescent="0.35">
      <c r="A119" s="11" t="s">
        <v>311</v>
      </c>
      <c r="B119" s="23">
        <v>207536.28</v>
      </c>
      <c r="C119" s="25">
        <f t="shared" si="1"/>
        <v>39479.83</v>
      </c>
      <c r="D119" s="25"/>
      <c r="E119" s="25"/>
      <c r="F119" s="25"/>
      <c r="G119" s="25">
        <v>1256.3399999999999</v>
      </c>
      <c r="H119" s="25"/>
      <c r="I119" s="25"/>
      <c r="J119" s="25">
        <f>7929.91+4003.53+993.56</f>
        <v>12927</v>
      </c>
      <c r="K119" s="25">
        <v>14669.8</v>
      </c>
      <c r="L119" s="25">
        <v>1861</v>
      </c>
      <c r="M119" s="25"/>
      <c r="N119" s="25">
        <v>945.18</v>
      </c>
      <c r="O119" s="25"/>
      <c r="P119" s="25"/>
      <c r="Q119" s="25"/>
      <c r="R119" s="25"/>
      <c r="S119" s="25"/>
      <c r="T119" s="25"/>
      <c r="U119" s="25">
        <v>5401</v>
      </c>
      <c r="V119" s="26">
        <f>432.77+1108.74+878</f>
        <v>2419.5100000000002</v>
      </c>
      <c r="W119" s="25"/>
      <c r="X119" s="25"/>
    </row>
    <row r="120" spans="1:24" s="7" customFormat="1" ht="15.75" customHeight="1" x14ac:dyDescent="0.35">
      <c r="A120" s="11" t="s">
        <v>310</v>
      </c>
      <c r="B120" s="23">
        <v>561116.4</v>
      </c>
      <c r="C120" s="25">
        <f t="shared" si="1"/>
        <v>49676.596000000005</v>
      </c>
      <c r="D120" s="25"/>
      <c r="E120" s="25"/>
      <c r="F120" s="25"/>
      <c r="G120" s="25">
        <f>9554.81+1997</f>
        <v>11551.81</v>
      </c>
      <c r="H120" s="25"/>
      <c r="I120" s="25"/>
      <c r="J120" s="25">
        <f>1213.81+3800.14+1213.81+3637.87+4160.68</f>
        <v>14026.310000000001</v>
      </c>
      <c r="K120" s="25">
        <f>376.48+62.38+752.946</f>
        <v>1191.806</v>
      </c>
      <c r="L120" s="25"/>
      <c r="M120" s="25">
        <v>62.327599999999997</v>
      </c>
      <c r="N120" s="25"/>
      <c r="O120" s="25"/>
      <c r="P120" s="25"/>
      <c r="Q120" s="25">
        <v>3986</v>
      </c>
      <c r="R120" s="25"/>
      <c r="S120" s="25"/>
      <c r="T120" s="25">
        <v>1010.48</v>
      </c>
      <c r="U120" s="25">
        <f>14365.2+1124.48</f>
        <v>15489.68</v>
      </c>
      <c r="V120" s="26">
        <f>432.77+1108.74+879</f>
        <v>2420.5100000000002</v>
      </c>
      <c r="W120" s="25"/>
      <c r="X120" s="25"/>
    </row>
    <row r="121" spans="1:24" s="7" customFormat="1" ht="15.75" customHeight="1" x14ac:dyDescent="0.35">
      <c r="A121" s="11" t="s">
        <v>309</v>
      </c>
      <c r="B121" s="23">
        <v>134776.32000000001</v>
      </c>
      <c r="C121" s="25">
        <f t="shared" si="1"/>
        <v>66476.92</v>
      </c>
      <c r="D121" s="25"/>
      <c r="E121" s="25"/>
      <c r="F121" s="25"/>
      <c r="G121" s="25">
        <f>3138.36+37062.03+95</f>
        <v>40295.39</v>
      </c>
      <c r="H121" s="25"/>
      <c r="I121" s="25"/>
      <c r="J121" s="25">
        <f>1130.51+1985.94</f>
        <v>3116.45</v>
      </c>
      <c r="K121" s="25">
        <f>376.48+1181</f>
        <v>1557.48</v>
      </c>
      <c r="L121" s="25"/>
      <c r="M121" s="25"/>
      <c r="N121" s="25">
        <v>1849.06</v>
      </c>
      <c r="O121" s="25"/>
      <c r="P121" s="25"/>
      <c r="Q121" s="25">
        <v>18793</v>
      </c>
      <c r="R121" s="25"/>
      <c r="S121" s="25"/>
      <c r="T121" s="25"/>
      <c r="U121" s="25"/>
      <c r="V121" s="26">
        <f>432.77+432.77</f>
        <v>865.54</v>
      </c>
      <c r="W121" s="25"/>
      <c r="X121" s="25"/>
    </row>
    <row r="122" spans="1:24" s="7" customFormat="1" ht="15.75" customHeight="1" x14ac:dyDescent="0.35">
      <c r="A122" s="11" t="s">
        <v>308</v>
      </c>
      <c r="B122" s="23">
        <v>113008.08</v>
      </c>
      <c r="C122" s="25">
        <f t="shared" si="1"/>
        <v>29091.591</v>
      </c>
      <c r="D122" s="25"/>
      <c r="E122" s="25"/>
      <c r="F122" s="25"/>
      <c r="G122" s="25"/>
      <c r="H122" s="25"/>
      <c r="I122" s="25"/>
      <c r="J122" s="25">
        <f>2352.85+2364.73+4116</f>
        <v>8833.58</v>
      </c>
      <c r="K122" s="25">
        <v>376.48</v>
      </c>
      <c r="L122" s="25"/>
      <c r="M122" s="25">
        <v>124</v>
      </c>
      <c r="N122" s="25"/>
      <c r="O122" s="25"/>
      <c r="P122" s="25"/>
      <c r="Q122" s="30">
        <v>19406.900000000001</v>
      </c>
      <c r="R122" s="25"/>
      <c r="S122" s="25">
        <v>474.63099999999997</v>
      </c>
      <c r="T122" s="25"/>
      <c r="U122" s="25"/>
      <c r="V122" s="26"/>
      <c r="W122" s="25"/>
      <c r="X122" s="25"/>
    </row>
    <row r="123" spans="1:24" s="7" customFormat="1" ht="15.75" customHeight="1" x14ac:dyDescent="0.35">
      <c r="A123" s="11" t="s">
        <v>307</v>
      </c>
      <c r="B123" s="23">
        <v>284382</v>
      </c>
      <c r="C123" s="25">
        <f t="shared" si="1"/>
        <v>152668.91300000003</v>
      </c>
      <c r="D123" s="25">
        <v>26847.360000000001</v>
      </c>
      <c r="E123" s="25"/>
      <c r="F123" s="25"/>
      <c r="G123" s="25">
        <v>3184.94</v>
      </c>
      <c r="H123" s="25"/>
      <c r="I123" s="25"/>
      <c r="J123" s="25">
        <f>1607.5+7851.72</f>
        <v>9459.2200000000012</v>
      </c>
      <c r="K123" s="25">
        <f>697.9+376.479</f>
        <v>1074.3789999999999</v>
      </c>
      <c r="L123" s="25">
        <v>29734</v>
      </c>
      <c r="M123" s="25"/>
      <c r="N123" s="25"/>
      <c r="O123" s="25">
        <f>5781.434+4840.36</f>
        <v>10621.794</v>
      </c>
      <c r="P123" s="25"/>
      <c r="Q123" s="25">
        <v>2811.44</v>
      </c>
      <c r="R123" s="25"/>
      <c r="S123" s="25"/>
      <c r="T123" s="25">
        <f>496.107+421.036+66016</f>
        <v>66933.142999999996</v>
      </c>
      <c r="U123" s="25">
        <v>244.43700000000001</v>
      </c>
      <c r="V123" s="26">
        <f>432.77+410.43+915</f>
        <v>1758.2</v>
      </c>
      <c r="W123" s="25"/>
      <c r="X123" s="25"/>
    </row>
    <row r="124" spans="1:24" ht="15.75" customHeight="1" x14ac:dyDescent="0.35">
      <c r="A124" s="11" t="s">
        <v>306</v>
      </c>
      <c r="B124" s="23">
        <v>51923.64</v>
      </c>
      <c r="C124" s="25">
        <f t="shared" si="1"/>
        <v>54004.111000000004</v>
      </c>
      <c r="D124" s="25"/>
      <c r="E124" s="25"/>
      <c r="F124" s="25"/>
      <c r="G124" s="25"/>
      <c r="H124" s="25"/>
      <c r="I124" s="25"/>
      <c r="J124" s="25">
        <f>765.631+4681</f>
        <v>5446.6310000000003</v>
      </c>
      <c r="K124" s="25"/>
      <c r="L124" s="25"/>
      <c r="M124" s="25"/>
      <c r="N124" s="25"/>
      <c r="O124" s="25"/>
      <c r="P124" s="25"/>
      <c r="Q124" s="25">
        <v>41963.21</v>
      </c>
      <c r="R124" s="25"/>
      <c r="S124" s="25">
        <v>3293.76</v>
      </c>
      <c r="T124" s="25"/>
      <c r="U124" s="25"/>
      <c r="V124" s="26">
        <f>432.77+1108.74+1759</f>
        <v>3300.51</v>
      </c>
      <c r="W124" s="25"/>
      <c r="X124" s="25"/>
    </row>
    <row r="125" spans="1:24" ht="15.75" customHeight="1" x14ac:dyDescent="0.35">
      <c r="A125" s="10" t="s">
        <v>305</v>
      </c>
      <c r="B125" s="23">
        <v>87477.66</v>
      </c>
      <c r="C125" s="25">
        <f t="shared" si="1"/>
        <v>367</v>
      </c>
      <c r="D125" s="25"/>
      <c r="E125" s="25"/>
      <c r="F125" s="25"/>
      <c r="G125" s="25"/>
      <c r="H125" s="25"/>
      <c r="I125" s="25"/>
      <c r="J125" s="25"/>
      <c r="K125" s="25">
        <v>367</v>
      </c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6"/>
      <c r="W125" s="25"/>
      <c r="X125" s="25"/>
    </row>
    <row r="126" spans="1:24" s="7" customFormat="1" ht="15.75" customHeight="1" x14ac:dyDescent="0.35">
      <c r="A126" s="11" t="s">
        <v>304</v>
      </c>
      <c r="B126" s="23">
        <v>416316.72</v>
      </c>
      <c r="C126" s="25">
        <f t="shared" si="1"/>
        <v>339807.08600000001</v>
      </c>
      <c r="D126" s="25"/>
      <c r="E126" s="25"/>
      <c r="F126" s="25"/>
      <c r="G126" s="25">
        <v>5783</v>
      </c>
      <c r="H126" s="25">
        <f>179846+122741</f>
        <v>302587</v>
      </c>
      <c r="I126" s="25"/>
      <c r="J126" s="25">
        <f>800.772+3334.77+2144</f>
        <v>6279.5420000000004</v>
      </c>
      <c r="K126" s="25">
        <v>8209</v>
      </c>
      <c r="L126" s="25">
        <v>14808</v>
      </c>
      <c r="M126" s="25">
        <v>6402.31</v>
      </c>
      <c r="N126" s="25"/>
      <c r="O126" s="25"/>
      <c r="P126" s="25"/>
      <c r="Q126" s="25">
        <v>1734.317</v>
      </c>
      <c r="R126" s="25"/>
      <c r="S126" s="25">
        <v>406.22699999999998</v>
      </c>
      <c r="T126" s="25"/>
      <c r="U126" s="25"/>
      <c r="V126" s="26"/>
      <c r="W126" s="25"/>
      <c r="X126" s="25"/>
    </row>
    <row r="127" spans="1:24" ht="15.75" customHeight="1" x14ac:dyDescent="0.35">
      <c r="A127" s="10" t="s">
        <v>303</v>
      </c>
      <c r="B127" s="23">
        <v>46477</v>
      </c>
      <c r="C127" s="25">
        <f t="shared" si="1"/>
        <v>0</v>
      </c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6"/>
      <c r="W127" s="25"/>
      <c r="X127" s="25"/>
    </row>
    <row r="128" spans="1:24" ht="15.75" customHeight="1" x14ac:dyDescent="0.35">
      <c r="A128" s="10" t="s">
        <v>302</v>
      </c>
      <c r="B128" s="23">
        <v>65137.39</v>
      </c>
      <c r="C128" s="25">
        <f t="shared" si="1"/>
        <v>23939.14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>
        <v>3993</v>
      </c>
      <c r="T128" s="25">
        <v>5395.54</v>
      </c>
      <c r="U128" s="25">
        <v>7032.61</v>
      </c>
      <c r="V128" s="26">
        <v>7517.99</v>
      </c>
      <c r="W128" s="25"/>
      <c r="X128" s="25"/>
    </row>
    <row r="129" spans="1:24" ht="15.75" customHeight="1" x14ac:dyDescent="0.35">
      <c r="A129" s="11" t="s">
        <v>301</v>
      </c>
      <c r="B129" s="23">
        <v>27243.15</v>
      </c>
      <c r="C129" s="25">
        <f t="shared" si="1"/>
        <v>2274.88</v>
      </c>
      <c r="D129" s="25"/>
      <c r="E129" s="25"/>
      <c r="F129" s="25"/>
      <c r="G129" s="25"/>
      <c r="H129" s="25"/>
      <c r="I129" s="25"/>
      <c r="J129" s="25"/>
      <c r="K129" s="25">
        <v>368</v>
      </c>
      <c r="L129" s="25"/>
      <c r="M129" s="25"/>
      <c r="N129" s="25"/>
      <c r="O129" s="25"/>
      <c r="P129" s="25"/>
      <c r="Q129" s="25">
        <v>1561.14</v>
      </c>
      <c r="R129" s="25"/>
      <c r="S129" s="25">
        <v>345.74</v>
      </c>
      <c r="T129" s="25"/>
      <c r="U129" s="25"/>
      <c r="V129" s="26"/>
      <c r="W129" s="25"/>
      <c r="X129" s="25"/>
    </row>
    <row r="130" spans="1:24" ht="15.75" customHeight="1" x14ac:dyDescent="0.35">
      <c r="A130" s="10" t="s">
        <v>300</v>
      </c>
      <c r="B130" s="23">
        <v>124223.26</v>
      </c>
      <c r="C130" s="25">
        <f t="shared" si="1"/>
        <v>26977.859</v>
      </c>
      <c r="D130" s="25"/>
      <c r="E130" s="25"/>
      <c r="F130" s="25"/>
      <c r="G130" s="25"/>
      <c r="H130" s="25"/>
      <c r="I130" s="25"/>
      <c r="J130" s="25"/>
      <c r="K130" s="25">
        <v>376.47899999999998</v>
      </c>
      <c r="L130" s="25">
        <v>3615</v>
      </c>
      <c r="M130" s="25"/>
      <c r="N130" s="25"/>
      <c r="O130" s="25">
        <v>21548</v>
      </c>
      <c r="P130" s="25"/>
      <c r="Q130" s="25"/>
      <c r="R130" s="25"/>
      <c r="S130" s="25"/>
      <c r="T130" s="25"/>
      <c r="U130" s="25">
        <v>1438.38</v>
      </c>
      <c r="V130" s="26"/>
      <c r="W130" s="25"/>
      <c r="X130" s="25"/>
    </row>
    <row r="131" spans="1:24" s="7" customFormat="1" ht="15.75" customHeight="1" x14ac:dyDescent="0.35">
      <c r="A131" s="11" t="s">
        <v>299</v>
      </c>
      <c r="B131" s="23">
        <v>141549.12</v>
      </c>
      <c r="C131" s="25">
        <f t="shared" si="1"/>
        <v>134706.06</v>
      </c>
      <c r="D131" s="25"/>
      <c r="E131" s="25"/>
      <c r="F131" s="25"/>
      <c r="G131" s="25"/>
      <c r="H131" s="25">
        <v>62016</v>
      </c>
      <c r="I131" s="25"/>
      <c r="J131" s="25"/>
      <c r="K131" s="25">
        <f>1458.6+376.48</f>
        <v>1835.08</v>
      </c>
      <c r="L131" s="25"/>
      <c r="M131" s="25">
        <v>5762.08</v>
      </c>
      <c r="N131" s="25"/>
      <c r="O131" s="25"/>
      <c r="P131" s="25"/>
      <c r="Q131" s="25">
        <v>7508.58</v>
      </c>
      <c r="R131" s="25"/>
      <c r="S131" s="25"/>
      <c r="T131" s="25">
        <f>4556.04+1623.8+1147.54+16450</f>
        <v>23777.38</v>
      </c>
      <c r="U131" s="25">
        <f>1738.62+550</f>
        <v>2288.62</v>
      </c>
      <c r="V131" s="26">
        <v>3862.4</v>
      </c>
      <c r="W131" s="25">
        <v>33418</v>
      </c>
      <c r="X131" s="25"/>
    </row>
    <row r="132" spans="1:24" ht="15.75" customHeight="1" x14ac:dyDescent="0.35">
      <c r="A132" s="10" t="s">
        <v>384</v>
      </c>
      <c r="B132" s="23">
        <v>157276.22</v>
      </c>
      <c r="C132" s="25">
        <f t="shared" si="1"/>
        <v>3855</v>
      </c>
      <c r="D132" s="25"/>
      <c r="E132" s="25"/>
      <c r="F132" s="25"/>
      <c r="G132" s="25"/>
      <c r="H132" s="25"/>
      <c r="I132" s="25"/>
      <c r="J132" s="25">
        <v>761</v>
      </c>
      <c r="K132" s="25">
        <v>607</v>
      </c>
      <c r="L132" s="25"/>
      <c r="M132" s="25"/>
      <c r="N132" s="25"/>
      <c r="O132" s="25"/>
      <c r="P132" s="25"/>
      <c r="Q132" s="25">
        <v>2487</v>
      </c>
      <c r="R132" s="25"/>
      <c r="S132" s="25"/>
      <c r="T132" s="25"/>
      <c r="U132" s="25"/>
      <c r="V132" s="26"/>
      <c r="W132" s="25"/>
      <c r="X132" s="25"/>
    </row>
    <row r="133" spans="1:24" ht="15.75" customHeight="1" x14ac:dyDescent="0.35">
      <c r="A133" s="10" t="s">
        <v>385</v>
      </c>
      <c r="B133" s="23">
        <v>163821.32</v>
      </c>
      <c r="C133" s="25">
        <f t="shared" si="1"/>
        <v>9471.880000000001</v>
      </c>
      <c r="D133" s="25"/>
      <c r="E133" s="25"/>
      <c r="F133" s="25"/>
      <c r="G133" s="25"/>
      <c r="H133" s="25"/>
      <c r="I133" s="25"/>
      <c r="J133" s="25">
        <v>2322</v>
      </c>
      <c r="K133" s="25">
        <v>322</v>
      </c>
      <c r="L133" s="25"/>
      <c r="M133" s="25"/>
      <c r="N133" s="25"/>
      <c r="O133" s="25"/>
      <c r="P133" s="25"/>
      <c r="Q133" s="25"/>
      <c r="R133" s="25"/>
      <c r="S133" s="25"/>
      <c r="T133" s="25"/>
      <c r="U133" s="25">
        <f>3201.92+1408.47</f>
        <v>4610.3900000000003</v>
      </c>
      <c r="V133" s="26">
        <v>2217.4899999999998</v>
      </c>
      <c r="W133" s="25"/>
      <c r="X133" s="25"/>
    </row>
    <row r="134" spans="1:24" ht="15.75" customHeight="1" x14ac:dyDescent="0.35">
      <c r="A134" s="11" t="s">
        <v>386</v>
      </c>
      <c r="B134" s="23">
        <v>190562.88</v>
      </c>
      <c r="C134" s="25">
        <f t="shared" si="1"/>
        <v>12355.53</v>
      </c>
      <c r="D134" s="25"/>
      <c r="E134" s="25"/>
      <c r="F134" s="25"/>
      <c r="G134" s="25"/>
      <c r="H134" s="25"/>
      <c r="I134" s="25"/>
      <c r="J134" s="25">
        <v>1411.08</v>
      </c>
      <c r="K134" s="25"/>
      <c r="L134" s="25"/>
      <c r="M134" s="25"/>
      <c r="N134" s="25"/>
      <c r="O134" s="25"/>
      <c r="P134" s="25"/>
      <c r="Q134" s="25">
        <v>9546</v>
      </c>
      <c r="R134" s="25"/>
      <c r="S134" s="25">
        <v>1398.45</v>
      </c>
      <c r="T134" s="25"/>
      <c r="U134" s="25"/>
      <c r="V134" s="26"/>
      <c r="W134" s="25"/>
      <c r="X134" s="25"/>
    </row>
    <row r="135" spans="1:24" s="7" customFormat="1" ht="15.75" customHeight="1" x14ac:dyDescent="0.35">
      <c r="A135" s="11" t="s">
        <v>387</v>
      </c>
      <c r="B135" s="23">
        <v>111768.24</v>
      </c>
      <c r="C135" s="25">
        <f t="shared" si="1"/>
        <v>29279.239999999998</v>
      </c>
      <c r="D135" s="25"/>
      <c r="E135" s="25"/>
      <c r="F135" s="25"/>
      <c r="G135" s="25"/>
      <c r="H135" s="25"/>
      <c r="I135" s="25"/>
      <c r="J135" s="25"/>
      <c r="K135" s="25"/>
      <c r="L135" s="25">
        <v>5975</v>
      </c>
      <c r="M135" s="25"/>
      <c r="N135" s="25"/>
      <c r="O135" s="25"/>
      <c r="P135" s="25"/>
      <c r="Q135" s="25">
        <v>2342.3000000000002</v>
      </c>
      <c r="R135" s="25"/>
      <c r="S135" s="25">
        <f>3296.94+2310</f>
        <v>5606.9400000000005</v>
      </c>
      <c r="T135" s="25">
        <v>5653</v>
      </c>
      <c r="U135" s="25">
        <v>9702</v>
      </c>
      <c r="V135" s="26"/>
      <c r="W135" s="25"/>
      <c r="X135" s="25"/>
    </row>
    <row r="136" spans="1:24" ht="15.75" customHeight="1" x14ac:dyDescent="0.35">
      <c r="A136" s="11" t="s">
        <v>388</v>
      </c>
      <c r="B136" s="23">
        <v>301656.59999999998</v>
      </c>
      <c r="C136" s="25">
        <f t="shared" si="1"/>
        <v>97992.98000000001</v>
      </c>
      <c r="D136" s="25"/>
      <c r="E136" s="25"/>
      <c r="F136" s="25"/>
      <c r="G136" s="25"/>
      <c r="H136" s="25">
        <v>48417</v>
      </c>
      <c r="I136" s="25"/>
      <c r="J136" s="25">
        <f>1456.56+5544</f>
        <v>7000.5599999999995</v>
      </c>
      <c r="K136" s="25">
        <f>376.48+376.48+752.95</f>
        <v>1505.91</v>
      </c>
      <c r="L136" s="25"/>
      <c r="M136" s="25"/>
      <c r="N136" s="25"/>
      <c r="O136" s="25"/>
      <c r="P136" s="25"/>
      <c r="Q136" s="25">
        <v>41069.51</v>
      </c>
      <c r="R136" s="25"/>
      <c r="S136" s="25"/>
      <c r="T136" s="25"/>
      <c r="U136" s="25"/>
      <c r="V136" s="26"/>
      <c r="W136" s="25"/>
      <c r="X136" s="25"/>
    </row>
    <row r="137" spans="1:24" ht="15.75" customHeight="1" x14ac:dyDescent="0.35">
      <c r="A137" s="10" t="s">
        <v>283</v>
      </c>
      <c r="B137" s="23">
        <v>494588.88</v>
      </c>
      <c r="C137" s="25">
        <f t="shared" si="1"/>
        <v>190308.54399999999</v>
      </c>
      <c r="D137" s="25"/>
      <c r="E137" s="25"/>
      <c r="F137" s="25"/>
      <c r="G137" s="25">
        <f>48997+876.976</f>
        <v>49873.976000000002</v>
      </c>
      <c r="H137" s="25"/>
      <c r="I137" s="25"/>
      <c r="J137" s="25">
        <f>10196.8+2484.23</f>
        <v>12681.029999999999</v>
      </c>
      <c r="K137" s="25">
        <f>752.95+376.479+608</f>
        <v>1737.4290000000001</v>
      </c>
      <c r="L137" s="25">
        <v>376.47899999999998</v>
      </c>
      <c r="M137" s="25"/>
      <c r="N137" s="25">
        <v>12708.67</v>
      </c>
      <c r="O137" s="25"/>
      <c r="P137" s="25"/>
      <c r="Q137" s="25">
        <f>83950.4+5919.35</f>
        <v>89869.75</v>
      </c>
      <c r="R137" s="25"/>
      <c r="S137" s="25">
        <v>2841.7</v>
      </c>
      <c r="T137" s="25">
        <f>3017+2843.21</f>
        <v>5860.21</v>
      </c>
      <c r="U137" s="25">
        <v>14359.3</v>
      </c>
      <c r="V137" s="26"/>
      <c r="W137" s="25"/>
      <c r="X137" s="25"/>
    </row>
    <row r="138" spans="1:24" s="46" customFormat="1" ht="15.75" customHeight="1" x14ac:dyDescent="0.35">
      <c r="A138" s="11" t="s">
        <v>298</v>
      </c>
      <c r="B138" s="23">
        <v>205373.28</v>
      </c>
      <c r="C138" s="25">
        <f t="shared" si="1"/>
        <v>179671.30400000003</v>
      </c>
      <c r="D138" s="25"/>
      <c r="E138" s="25"/>
      <c r="F138" s="25"/>
      <c r="G138" s="25">
        <v>1250.67</v>
      </c>
      <c r="H138" s="25">
        <v>150990</v>
      </c>
      <c r="I138" s="25"/>
      <c r="J138" s="25"/>
      <c r="K138" s="25">
        <f>367.479+367+304</f>
        <v>1038.479</v>
      </c>
      <c r="L138" s="25">
        <v>22758.42</v>
      </c>
      <c r="M138" s="25"/>
      <c r="N138" s="25"/>
      <c r="O138" s="25"/>
      <c r="P138" s="25"/>
      <c r="Q138" s="25"/>
      <c r="R138" s="25"/>
      <c r="S138" s="25"/>
      <c r="T138" s="25">
        <v>1249.24</v>
      </c>
      <c r="U138" s="25">
        <v>114.295</v>
      </c>
      <c r="V138" s="26">
        <f>1931.2+339</f>
        <v>2270.1999999999998</v>
      </c>
      <c r="W138" s="25"/>
      <c r="X138" s="25"/>
    </row>
    <row r="139" spans="1:24" ht="15.75" customHeight="1" x14ac:dyDescent="0.35">
      <c r="A139" s="11" t="s">
        <v>297</v>
      </c>
      <c r="B139" s="23">
        <v>189902.76</v>
      </c>
      <c r="C139" s="25">
        <f t="shared" si="1"/>
        <v>48988.463999999993</v>
      </c>
      <c r="D139" s="25"/>
      <c r="E139" s="25"/>
      <c r="F139" s="25"/>
      <c r="G139" s="25"/>
      <c r="H139" s="25"/>
      <c r="I139" s="25"/>
      <c r="J139" s="25">
        <v>5767</v>
      </c>
      <c r="K139" s="25">
        <v>376.48</v>
      </c>
      <c r="L139" s="25"/>
      <c r="M139" s="25"/>
      <c r="N139" s="25"/>
      <c r="O139" s="25"/>
      <c r="P139" s="25"/>
      <c r="Q139" s="25">
        <f>9008.014+29618</f>
        <v>38626.013999999996</v>
      </c>
      <c r="R139" s="25"/>
      <c r="S139" s="25">
        <f>1395.23+345.74</f>
        <v>1740.97</v>
      </c>
      <c r="T139" s="25"/>
      <c r="U139" s="25">
        <v>2478</v>
      </c>
      <c r="V139" s="26"/>
      <c r="W139" s="25"/>
      <c r="X139" s="25"/>
    </row>
    <row r="140" spans="1:24" s="7" customFormat="1" ht="15.75" customHeight="1" x14ac:dyDescent="0.35">
      <c r="A140" s="11" t="s">
        <v>296</v>
      </c>
      <c r="B140" s="23">
        <v>323313.12</v>
      </c>
      <c r="C140" s="25">
        <f t="shared" si="1"/>
        <v>23364.302</v>
      </c>
      <c r="D140" s="25"/>
      <c r="E140" s="25"/>
      <c r="F140" s="25"/>
      <c r="G140" s="25"/>
      <c r="H140" s="25"/>
      <c r="I140" s="25"/>
      <c r="J140" s="25">
        <f>3127.87+3640+1755+4934.35</f>
        <v>13457.22</v>
      </c>
      <c r="K140" s="25"/>
      <c r="L140" s="25"/>
      <c r="M140" s="25"/>
      <c r="N140" s="25">
        <v>1505</v>
      </c>
      <c r="O140" s="25"/>
      <c r="P140" s="25"/>
      <c r="Q140" s="25"/>
      <c r="R140" s="25"/>
      <c r="S140" s="25">
        <v>4711.3</v>
      </c>
      <c r="T140" s="25">
        <f>171+2625</f>
        <v>2796</v>
      </c>
      <c r="U140" s="25">
        <v>894.78200000000004</v>
      </c>
      <c r="V140" s="26"/>
      <c r="W140" s="25"/>
      <c r="X140" s="25"/>
    </row>
    <row r="141" spans="1:24" s="7" customFormat="1" ht="15.75" customHeight="1" x14ac:dyDescent="0.35">
      <c r="A141" s="11" t="s">
        <v>295</v>
      </c>
      <c r="B141" s="23">
        <v>176153.53</v>
      </c>
      <c r="C141" s="25">
        <f t="shared" si="1"/>
        <v>27800.61</v>
      </c>
      <c r="D141" s="25"/>
      <c r="E141" s="25"/>
      <c r="F141" s="25"/>
      <c r="G141" s="25">
        <v>12879</v>
      </c>
      <c r="H141" s="25"/>
      <c r="I141" s="25"/>
      <c r="J141" s="25">
        <f>7919.61+1147</f>
        <v>9066.61</v>
      </c>
      <c r="K141" s="25">
        <v>367</v>
      </c>
      <c r="L141" s="25">
        <v>1795</v>
      </c>
      <c r="M141" s="25"/>
      <c r="N141" s="25"/>
      <c r="O141" s="25"/>
      <c r="P141" s="25"/>
      <c r="Q141" s="25">
        <v>3693</v>
      </c>
      <c r="R141" s="25"/>
      <c r="S141" s="25"/>
      <c r="T141" s="25"/>
      <c r="U141" s="25"/>
      <c r="V141" s="26"/>
      <c r="W141" s="25"/>
      <c r="X141" s="25"/>
    </row>
    <row r="142" spans="1:24" s="7" customFormat="1" ht="15.75" customHeight="1" x14ac:dyDescent="0.35">
      <c r="A142" s="11" t="s">
        <v>294</v>
      </c>
      <c r="B142" s="23">
        <v>481650</v>
      </c>
      <c r="C142" s="25">
        <f t="shared" ref="C142:C205" si="2">D142+E142+G142+H142+I142+J142+K142+L142+N142+O142+P142+Q142+R142+S142+T142+U142+V142+W142+X142+F142</f>
        <v>61308.28</v>
      </c>
      <c r="D142" s="25"/>
      <c r="E142" s="25"/>
      <c r="F142" s="25"/>
      <c r="G142" s="25">
        <f>1205.84+696.2</f>
        <v>1902.04</v>
      </c>
      <c r="H142" s="25"/>
      <c r="I142" s="25"/>
      <c r="J142" s="25">
        <f>10774.8+3640.3+572</f>
        <v>14987.099999999999</v>
      </c>
      <c r="K142" s="25">
        <f>376.48+366.98</f>
        <v>743.46</v>
      </c>
      <c r="L142" s="25"/>
      <c r="M142" s="25">
        <v>10774.6</v>
      </c>
      <c r="N142" s="25">
        <v>39175.449999999997</v>
      </c>
      <c r="O142" s="25"/>
      <c r="P142" s="25"/>
      <c r="Q142" s="25">
        <v>4134.72</v>
      </c>
      <c r="R142" s="25"/>
      <c r="S142" s="25">
        <v>365.51</v>
      </c>
      <c r="T142" s="25"/>
      <c r="U142" s="25"/>
      <c r="V142" s="26"/>
      <c r="W142" s="25"/>
      <c r="X142" s="25"/>
    </row>
    <row r="143" spans="1:24" s="7" customFormat="1" ht="15.75" customHeight="1" x14ac:dyDescent="0.35">
      <c r="A143" s="11" t="s">
        <v>293</v>
      </c>
      <c r="B143" s="23">
        <v>567488.64</v>
      </c>
      <c r="C143" s="25">
        <f t="shared" si="2"/>
        <v>389605.36000000004</v>
      </c>
      <c r="D143" s="25"/>
      <c r="E143" s="25"/>
      <c r="F143" s="25"/>
      <c r="G143" s="25"/>
      <c r="H143" s="25">
        <v>300780</v>
      </c>
      <c r="I143" s="25"/>
      <c r="J143" s="25">
        <f>2739+1279.88</f>
        <v>4018.88</v>
      </c>
      <c r="K143" s="25">
        <v>367.11</v>
      </c>
      <c r="L143" s="25"/>
      <c r="M143" s="25"/>
      <c r="N143" s="25">
        <v>39318.58</v>
      </c>
      <c r="O143" s="25"/>
      <c r="P143" s="25"/>
      <c r="Q143" s="25">
        <f>9479.94+4744.78+6213+19338.93</f>
        <v>39776.65</v>
      </c>
      <c r="R143" s="25"/>
      <c r="S143" s="25">
        <f>467.28+1953</f>
        <v>2420.2799999999997</v>
      </c>
      <c r="T143" s="25">
        <f>1873.86+1050</f>
        <v>2923.8599999999997</v>
      </c>
      <c r="U143" s="25"/>
      <c r="V143" s="26"/>
      <c r="W143" s="25"/>
      <c r="X143" s="25"/>
    </row>
    <row r="144" spans="1:24" s="7" customFormat="1" ht="15.75" customHeight="1" x14ac:dyDescent="0.35">
      <c r="A144" s="11" t="s">
        <v>292</v>
      </c>
      <c r="B144" s="23">
        <v>315977.28000000003</v>
      </c>
      <c r="C144" s="25">
        <f t="shared" si="2"/>
        <v>35101.71</v>
      </c>
      <c r="D144" s="25"/>
      <c r="E144" s="25"/>
      <c r="F144" s="25"/>
      <c r="G144" s="25">
        <v>6125</v>
      </c>
      <c r="H144" s="25"/>
      <c r="I144" s="25"/>
      <c r="J144" s="25">
        <f>4270.12</f>
        <v>4270.12</v>
      </c>
      <c r="K144" s="25">
        <f>444.25+1056</f>
        <v>1500.25</v>
      </c>
      <c r="L144" s="25"/>
      <c r="M144" s="25"/>
      <c r="N144" s="25"/>
      <c r="O144" s="25"/>
      <c r="P144" s="25"/>
      <c r="Q144" s="25">
        <v>17209.5</v>
      </c>
      <c r="R144" s="25"/>
      <c r="S144" s="25">
        <f>1768.96+2091</f>
        <v>3859.96</v>
      </c>
      <c r="T144" s="25"/>
      <c r="U144" s="25"/>
      <c r="V144" s="26">
        <f>1080.88+1056</f>
        <v>2136.88</v>
      </c>
      <c r="W144" s="25"/>
      <c r="X144" s="25"/>
    </row>
    <row r="145" spans="1:24" s="7" customFormat="1" ht="15.75" customHeight="1" x14ac:dyDescent="0.35">
      <c r="A145" s="11" t="s">
        <v>291</v>
      </c>
      <c r="B145" s="23">
        <v>128174.64</v>
      </c>
      <c r="C145" s="25">
        <f t="shared" si="2"/>
        <v>78784.53</v>
      </c>
      <c r="D145" s="31">
        <v>1703.39</v>
      </c>
      <c r="E145" s="31"/>
      <c r="F145" s="31"/>
      <c r="G145" s="31"/>
      <c r="H145" s="31"/>
      <c r="I145" s="31"/>
      <c r="J145" s="31">
        <f>1601.93+3339.173+382.816+552.41</f>
        <v>5876.3289999999997</v>
      </c>
      <c r="K145" s="31"/>
      <c r="L145" s="31"/>
      <c r="M145" s="31"/>
      <c r="N145" s="31"/>
      <c r="O145" s="31">
        <v>4793.7619999999997</v>
      </c>
      <c r="P145" s="31"/>
      <c r="Q145" s="31">
        <f>39171.7+5402.74+6836.55+1939.92</f>
        <v>53350.909999999996</v>
      </c>
      <c r="R145" s="31"/>
      <c r="S145" s="31">
        <f>2278.9+3117.8+3693.71</f>
        <v>9090.41</v>
      </c>
      <c r="T145" s="31">
        <v>495.91899999999998</v>
      </c>
      <c r="U145" s="31"/>
      <c r="V145" s="32">
        <f>432.77+1080.88+879+1081.16</f>
        <v>3473.8100000000004</v>
      </c>
      <c r="W145" s="31"/>
      <c r="X145" s="31"/>
    </row>
    <row r="146" spans="1:24" ht="15.75" customHeight="1" x14ac:dyDescent="0.35">
      <c r="A146" s="11" t="s">
        <v>290</v>
      </c>
      <c r="B146" s="23">
        <v>116989.25</v>
      </c>
      <c r="C146" s="25">
        <f t="shared" si="2"/>
        <v>475</v>
      </c>
      <c r="D146" s="25"/>
      <c r="E146" s="25"/>
      <c r="F146" s="25"/>
      <c r="G146" s="25"/>
      <c r="H146" s="25"/>
      <c r="I146" s="25"/>
      <c r="J146" s="25">
        <v>367</v>
      </c>
      <c r="K146" s="25"/>
      <c r="L146" s="25"/>
      <c r="M146" s="25"/>
      <c r="N146" s="25"/>
      <c r="O146" s="25"/>
      <c r="P146" s="25"/>
      <c r="Q146" s="25"/>
      <c r="R146" s="25"/>
      <c r="S146" s="25"/>
      <c r="T146" s="25">
        <v>108</v>
      </c>
      <c r="U146" s="25"/>
      <c r="V146" s="26"/>
      <c r="W146" s="25"/>
      <c r="X146" s="25"/>
    </row>
    <row r="147" spans="1:24" s="7" customFormat="1" ht="15.75" customHeight="1" x14ac:dyDescent="0.35">
      <c r="A147" s="11" t="s">
        <v>5</v>
      </c>
      <c r="B147" s="23">
        <v>82704.36</v>
      </c>
      <c r="C147" s="25">
        <f t="shared" si="2"/>
        <v>38833.956999999995</v>
      </c>
      <c r="D147" s="25">
        <v>5099</v>
      </c>
      <c r="E147" s="25"/>
      <c r="F147" s="25"/>
      <c r="G147" s="25"/>
      <c r="H147" s="25"/>
      <c r="I147" s="25"/>
      <c r="J147" s="25">
        <f>490.9+1371.16</f>
        <v>1862.06</v>
      </c>
      <c r="K147" s="25"/>
      <c r="L147" s="25"/>
      <c r="M147" s="25"/>
      <c r="N147" s="25"/>
      <c r="O147" s="25"/>
      <c r="P147" s="25"/>
      <c r="Q147" s="25">
        <f>1901.216+646.64</f>
        <v>2547.8559999999998</v>
      </c>
      <c r="R147" s="25"/>
      <c r="S147" s="25">
        <f>526.422+3693.71</f>
        <v>4220.1319999999996</v>
      </c>
      <c r="T147" s="25">
        <f>2079.09+495.919+3471.56</f>
        <v>6046.5689999999995</v>
      </c>
      <c r="U147" s="25">
        <f>7309.04+7551.34+1081.16+1080.88</f>
        <v>17022.420000000002</v>
      </c>
      <c r="V147" s="26">
        <f>1541.5+494.42</f>
        <v>2035.92</v>
      </c>
      <c r="W147" s="25"/>
      <c r="X147" s="25"/>
    </row>
    <row r="148" spans="1:24" s="7" customFormat="1" ht="15.75" customHeight="1" x14ac:dyDescent="0.35">
      <c r="A148" s="11" t="s">
        <v>6</v>
      </c>
      <c r="B148" s="23">
        <v>257903.88</v>
      </c>
      <c r="C148" s="25">
        <f t="shared" si="2"/>
        <v>39969.959000000003</v>
      </c>
      <c r="D148" s="25"/>
      <c r="E148" s="25"/>
      <c r="F148" s="25"/>
      <c r="G148" s="25">
        <v>6300.89</v>
      </c>
      <c r="H148" s="25"/>
      <c r="I148" s="25"/>
      <c r="J148" s="25">
        <v>1988</v>
      </c>
      <c r="K148" s="25"/>
      <c r="L148" s="25">
        <v>13616.8</v>
      </c>
      <c r="M148" s="25"/>
      <c r="N148" s="25"/>
      <c r="O148" s="25"/>
      <c r="P148" s="25"/>
      <c r="Q148" s="25">
        <f>2629.41+7085</f>
        <v>9714.41</v>
      </c>
      <c r="R148" s="25"/>
      <c r="S148" s="25">
        <f>811.91+4447.1</f>
        <v>5259.01</v>
      </c>
      <c r="T148" s="25">
        <v>495.91899999999998</v>
      </c>
      <c r="U148" s="25"/>
      <c r="V148" s="26">
        <f>432.77+1081.16+1081</f>
        <v>2594.9300000000003</v>
      </c>
      <c r="W148" s="25"/>
      <c r="X148" s="25"/>
    </row>
    <row r="149" spans="1:24" s="7" customFormat="1" ht="15.75" customHeight="1" x14ac:dyDescent="0.35">
      <c r="A149" s="11" t="s">
        <v>7</v>
      </c>
      <c r="B149" s="23">
        <v>182689.44</v>
      </c>
      <c r="C149" s="25">
        <f t="shared" si="2"/>
        <v>28437.179</v>
      </c>
      <c r="D149" s="25"/>
      <c r="E149" s="25"/>
      <c r="F149" s="25"/>
      <c r="G149" s="25"/>
      <c r="H149" s="25"/>
      <c r="I149" s="25"/>
      <c r="J149" s="25"/>
      <c r="K149" s="25">
        <f>376.48+933.651</f>
        <v>1310.1309999999999</v>
      </c>
      <c r="L149" s="25"/>
      <c r="M149" s="25"/>
      <c r="N149" s="25">
        <f>938.77+508</f>
        <v>1446.77</v>
      </c>
      <c r="O149" s="25"/>
      <c r="P149" s="25"/>
      <c r="Q149" s="25"/>
      <c r="R149" s="25">
        <v>18041</v>
      </c>
      <c r="S149" s="25">
        <v>3693.71</v>
      </c>
      <c r="T149" s="25">
        <f>496.107+495.919</f>
        <v>992.02600000000007</v>
      </c>
      <c r="U149" s="25">
        <v>358.73200000000003</v>
      </c>
      <c r="V149" s="26">
        <f>432.77+1081.16+1080.88</f>
        <v>2594.8100000000004</v>
      </c>
      <c r="W149" s="25"/>
      <c r="X149" s="25"/>
    </row>
    <row r="150" spans="1:24" s="46" customFormat="1" ht="15.75" customHeight="1" x14ac:dyDescent="0.35">
      <c r="A150" s="10" t="s">
        <v>8</v>
      </c>
      <c r="B150" s="23">
        <v>64989.599999999999</v>
      </c>
      <c r="C150" s="25">
        <f t="shared" si="2"/>
        <v>34936.7984</v>
      </c>
      <c r="D150" s="25">
        <v>569.91639999999995</v>
      </c>
      <c r="E150" s="25"/>
      <c r="F150" s="25"/>
      <c r="G150" s="25"/>
      <c r="H150" s="25"/>
      <c r="I150" s="25"/>
      <c r="J150" s="25">
        <f>1820.7+989.713</f>
        <v>2810.413</v>
      </c>
      <c r="K150" s="25">
        <v>377.47899999999998</v>
      </c>
      <c r="L150" s="25"/>
      <c r="M150" s="25"/>
      <c r="N150" s="25"/>
      <c r="O150" s="25"/>
      <c r="P150" s="25"/>
      <c r="Q150" s="25">
        <f>6375.15+3521.12</f>
        <v>9896.27</v>
      </c>
      <c r="R150" s="25"/>
      <c r="S150" s="25">
        <v>3403.7</v>
      </c>
      <c r="T150" s="25"/>
      <c r="U150" s="25">
        <v>7546.31</v>
      </c>
      <c r="V150" s="26">
        <f>432.77+9899.94</f>
        <v>10332.710000000001</v>
      </c>
      <c r="W150" s="25"/>
      <c r="X150" s="25"/>
    </row>
    <row r="151" spans="1:24" ht="15.75" customHeight="1" x14ac:dyDescent="0.35">
      <c r="A151" s="10" t="s">
        <v>9</v>
      </c>
      <c r="B151" s="23">
        <v>205304.4</v>
      </c>
      <c r="C151" s="25">
        <f t="shared" si="2"/>
        <v>21772.100000000002</v>
      </c>
      <c r="D151" s="25"/>
      <c r="E151" s="25"/>
      <c r="F151" s="25"/>
      <c r="G151" s="25"/>
      <c r="H151" s="25"/>
      <c r="I151" s="25"/>
      <c r="J151" s="25">
        <v>7424.56</v>
      </c>
      <c r="K151" s="25">
        <f>376.48+10497.41</f>
        <v>10873.89</v>
      </c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6">
        <f>432.77+1080.88+1960</f>
        <v>3473.65</v>
      </c>
      <c r="W151" s="25"/>
      <c r="X151" s="25"/>
    </row>
    <row r="152" spans="1:24" s="7" customFormat="1" ht="15.75" customHeight="1" x14ac:dyDescent="0.35">
      <c r="A152" s="11" t="s">
        <v>10</v>
      </c>
      <c r="B152" s="23">
        <v>668737.31999999995</v>
      </c>
      <c r="C152" s="25">
        <f t="shared" si="2"/>
        <v>80750.47</v>
      </c>
      <c r="D152" s="25"/>
      <c r="E152" s="25"/>
      <c r="F152" s="25"/>
      <c r="G152" s="25">
        <f>57163.95+1763</f>
        <v>58926.95</v>
      </c>
      <c r="H152" s="25"/>
      <c r="I152" s="25"/>
      <c r="J152" s="25">
        <v>3393.64</v>
      </c>
      <c r="K152" s="25"/>
      <c r="L152" s="25"/>
      <c r="M152" s="25"/>
      <c r="N152" s="25"/>
      <c r="O152" s="25"/>
      <c r="P152" s="25"/>
      <c r="Q152" s="25">
        <v>11941</v>
      </c>
      <c r="R152" s="25"/>
      <c r="S152" s="25">
        <f>4716.52+691.48</f>
        <v>5408</v>
      </c>
      <c r="T152" s="25"/>
      <c r="U152" s="25"/>
      <c r="V152" s="26">
        <v>1080.8800000000001</v>
      </c>
      <c r="W152" s="25"/>
      <c r="X152" s="25"/>
    </row>
    <row r="153" spans="1:24" s="7" customFormat="1" ht="15.75" customHeight="1" x14ac:dyDescent="0.35">
      <c r="A153" s="10" t="s">
        <v>11</v>
      </c>
      <c r="B153" s="23">
        <v>376214.16</v>
      </c>
      <c r="C153" s="25">
        <f t="shared" si="2"/>
        <v>107275.65000000002</v>
      </c>
      <c r="D153" s="25"/>
      <c r="E153" s="25"/>
      <c r="F153" s="25"/>
      <c r="G153" s="25"/>
      <c r="H153" s="25">
        <v>57912</v>
      </c>
      <c r="I153" s="25"/>
      <c r="J153" s="25">
        <v>566</v>
      </c>
      <c r="K153" s="25">
        <f>376.48+33592</f>
        <v>33968.480000000003</v>
      </c>
      <c r="L153" s="25"/>
      <c r="M153" s="25"/>
      <c r="N153" s="25"/>
      <c r="O153" s="25"/>
      <c r="P153" s="25"/>
      <c r="Q153" s="25">
        <f>4198.61+2804.86+4537</f>
        <v>11540.47</v>
      </c>
      <c r="R153" s="25"/>
      <c r="S153" s="25">
        <v>405.96</v>
      </c>
      <c r="T153" s="25"/>
      <c r="U153" s="25">
        <v>994.74</v>
      </c>
      <c r="V153" s="26">
        <v>1888</v>
      </c>
      <c r="W153" s="25"/>
      <c r="X153" s="25"/>
    </row>
    <row r="154" spans="1:24" s="7" customFormat="1" ht="15.75" customHeight="1" x14ac:dyDescent="0.35">
      <c r="A154" s="10" t="s">
        <v>12</v>
      </c>
      <c r="B154" s="23">
        <v>415047.72</v>
      </c>
      <c r="C154" s="25">
        <f t="shared" si="2"/>
        <v>18521.27</v>
      </c>
      <c r="D154" s="25"/>
      <c r="E154" s="25"/>
      <c r="F154" s="25"/>
      <c r="G154" s="25"/>
      <c r="H154" s="25"/>
      <c r="I154" s="25"/>
      <c r="J154" s="25">
        <v>3675.37</v>
      </c>
      <c r="K154" s="25"/>
      <c r="L154" s="25">
        <v>3112</v>
      </c>
      <c r="M154" s="25"/>
      <c r="N154" s="25">
        <v>2466</v>
      </c>
      <c r="O154" s="25"/>
      <c r="P154" s="25"/>
      <c r="Q154" s="25">
        <v>8580</v>
      </c>
      <c r="R154" s="25"/>
      <c r="S154" s="25"/>
      <c r="T154" s="25"/>
      <c r="U154" s="25">
        <v>687.9</v>
      </c>
      <c r="V154" s="26"/>
      <c r="W154" s="25"/>
      <c r="X154" s="25"/>
    </row>
    <row r="155" spans="1:24" s="7" customFormat="1" ht="15.75" customHeight="1" x14ac:dyDescent="0.35">
      <c r="A155" s="10" t="s">
        <v>13</v>
      </c>
      <c r="B155" s="23">
        <v>289711.08</v>
      </c>
      <c r="C155" s="25">
        <f t="shared" si="2"/>
        <v>87921.18</v>
      </c>
      <c r="D155" s="25"/>
      <c r="E155" s="25"/>
      <c r="F155" s="25"/>
      <c r="G155" s="25"/>
      <c r="H155" s="25"/>
      <c r="I155" s="25"/>
      <c r="J155" s="25">
        <f>2296.88+1255.52+2509.86</f>
        <v>6062.26</v>
      </c>
      <c r="K155" s="25">
        <v>752.95</v>
      </c>
      <c r="L155" s="25"/>
      <c r="M155" s="25"/>
      <c r="N155" s="25"/>
      <c r="O155" s="25"/>
      <c r="P155" s="25"/>
      <c r="Q155" s="25">
        <f>10970+6296.23+6822.725+660.635+5843.36+8671.98+12922.17</f>
        <v>52187.1</v>
      </c>
      <c r="R155" s="25"/>
      <c r="S155" s="25">
        <f>1623.8+2030.78+11909.29</f>
        <v>15563.87</v>
      </c>
      <c r="T155" s="25"/>
      <c r="U155" s="25">
        <v>13355</v>
      </c>
      <c r="V155" s="26"/>
      <c r="W155" s="25"/>
      <c r="X155" s="25"/>
    </row>
    <row r="156" spans="1:24" s="7" customFormat="1" ht="15.75" customHeight="1" x14ac:dyDescent="0.35">
      <c r="A156" s="10" t="s">
        <v>14</v>
      </c>
      <c r="B156" s="23">
        <v>394407.16</v>
      </c>
      <c r="C156" s="25">
        <f t="shared" si="2"/>
        <v>110826.99</v>
      </c>
      <c r="D156" s="25"/>
      <c r="E156" s="25"/>
      <c r="F156" s="25"/>
      <c r="G156" s="25">
        <f>3140.85+75380</f>
        <v>78520.850000000006</v>
      </c>
      <c r="H156" s="25"/>
      <c r="I156" s="25"/>
      <c r="J156" s="25">
        <f>2326.64+2333+9756</f>
        <v>14415.64</v>
      </c>
      <c r="K156" s="25">
        <v>1458.6</v>
      </c>
      <c r="L156" s="25"/>
      <c r="M156" s="25"/>
      <c r="N156" s="25"/>
      <c r="O156" s="25"/>
      <c r="P156" s="25"/>
      <c r="Q156" s="25">
        <v>3281</v>
      </c>
      <c r="R156" s="25"/>
      <c r="S156" s="25"/>
      <c r="T156" s="25">
        <v>3221.4</v>
      </c>
      <c r="U156" s="25">
        <v>7175.98</v>
      </c>
      <c r="V156" s="26">
        <f>865.52+1888</f>
        <v>2753.52</v>
      </c>
      <c r="W156" s="25"/>
      <c r="X156" s="25"/>
    </row>
    <row r="157" spans="1:24" s="7" customFormat="1" ht="15.75" customHeight="1" x14ac:dyDescent="0.35">
      <c r="A157" s="15" t="s">
        <v>15</v>
      </c>
      <c r="B157" s="24">
        <v>382511.49</v>
      </c>
      <c r="C157" s="25">
        <f t="shared" si="2"/>
        <v>38046.310999999994</v>
      </c>
      <c r="D157" s="28"/>
      <c r="E157" s="28"/>
      <c r="F157" s="28"/>
      <c r="G157" s="28"/>
      <c r="H157" s="28"/>
      <c r="I157" s="28"/>
      <c r="J157" s="28">
        <f>1921+1767.64</f>
        <v>3688.6400000000003</v>
      </c>
      <c r="K157" s="28">
        <v>301</v>
      </c>
      <c r="L157" s="28"/>
      <c r="M157" s="28">
        <f>5121.85+1920.7</f>
        <v>7042.55</v>
      </c>
      <c r="N157" s="28"/>
      <c r="O157" s="28"/>
      <c r="P157" s="28">
        <v>7406.86</v>
      </c>
      <c r="Q157" s="28">
        <f>5122+3763.02+2408.38</f>
        <v>11293.400000000001</v>
      </c>
      <c r="R157" s="28"/>
      <c r="S157" s="28">
        <v>10170</v>
      </c>
      <c r="T157" s="28"/>
      <c r="U157" s="28">
        <f>238.891+4082</f>
        <v>4320.8909999999996</v>
      </c>
      <c r="V157" s="29">
        <v>865.52</v>
      </c>
      <c r="W157" s="28"/>
      <c r="X157" s="28"/>
    </row>
    <row r="158" spans="1:24" s="7" customFormat="1" ht="15.75" customHeight="1" x14ac:dyDescent="0.35">
      <c r="A158" s="10" t="s">
        <v>16</v>
      </c>
      <c r="B158" s="23">
        <v>166868.85</v>
      </c>
      <c r="C158" s="25">
        <f t="shared" si="2"/>
        <v>193413.451</v>
      </c>
      <c r="D158" s="25"/>
      <c r="E158" s="25"/>
      <c r="F158" s="25"/>
      <c r="G158" s="25">
        <v>40831</v>
      </c>
      <c r="H158" s="25">
        <v>125786</v>
      </c>
      <c r="I158" s="25"/>
      <c r="J158" s="25"/>
      <c r="K158" s="25">
        <v>376.48</v>
      </c>
      <c r="L158" s="25"/>
      <c r="M158" s="25"/>
      <c r="N158" s="25">
        <v>11914.38</v>
      </c>
      <c r="O158" s="25"/>
      <c r="P158" s="25"/>
      <c r="Q158" s="25">
        <f>747+8756.957+2187</f>
        <v>11690.957</v>
      </c>
      <c r="R158" s="25"/>
      <c r="S158" s="25">
        <f>280.63+812.454</f>
        <v>1093.0839999999998</v>
      </c>
      <c r="T158" s="25">
        <v>435</v>
      </c>
      <c r="U158" s="25">
        <v>421.03</v>
      </c>
      <c r="V158" s="26">
        <v>865.52</v>
      </c>
      <c r="W158" s="25"/>
      <c r="X158" s="25"/>
    </row>
    <row r="159" spans="1:24" ht="15.75" customHeight="1" x14ac:dyDescent="0.35">
      <c r="A159" s="10" t="s">
        <v>17</v>
      </c>
      <c r="B159" s="23">
        <v>90134.3</v>
      </c>
      <c r="C159" s="25">
        <f t="shared" si="2"/>
        <v>12540.67</v>
      </c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>
        <v>2905</v>
      </c>
      <c r="O159" s="25"/>
      <c r="P159" s="25"/>
      <c r="Q159" s="25">
        <v>3303.15</v>
      </c>
      <c r="R159" s="25"/>
      <c r="S159" s="25">
        <v>1096.52</v>
      </c>
      <c r="T159" s="25"/>
      <c r="U159" s="25">
        <v>5236</v>
      </c>
      <c r="V159" s="26"/>
      <c r="W159" s="25"/>
      <c r="X159" s="25"/>
    </row>
    <row r="160" spans="1:24" s="7" customFormat="1" ht="15.75" customHeight="1" x14ac:dyDescent="0.35">
      <c r="A160" s="10" t="s">
        <v>18</v>
      </c>
      <c r="B160" s="23">
        <v>170278.33</v>
      </c>
      <c r="C160" s="25">
        <f t="shared" si="2"/>
        <v>46285.917000000001</v>
      </c>
      <c r="D160" s="25">
        <v>314</v>
      </c>
      <c r="E160" s="25"/>
      <c r="F160" s="25"/>
      <c r="G160" s="25">
        <f>37062</f>
        <v>37062</v>
      </c>
      <c r="H160" s="25"/>
      <c r="I160" s="25"/>
      <c r="J160" s="25"/>
      <c r="K160" s="25"/>
      <c r="L160" s="25">
        <v>1527</v>
      </c>
      <c r="M160" s="25"/>
      <c r="N160" s="25"/>
      <c r="O160" s="25"/>
      <c r="P160" s="25"/>
      <c r="Q160" s="25">
        <v>4005</v>
      </c>
      <c r="R160" s="25"/>
      <c r="S160" s="25">
        <v>345.91699999999997</v>
      </c>
      <c r="T160" s="25"/>
      <c r="U160" s="25">
        <v>3032</v>
      </c>
      <c r="V160" s="26"/>
      <c r="W160" s="25"/>
      <c r="X160" s="25"/>
    </row>
    <row r="161" spans="1:24" s="7" customFormat="1" ht="15.75" customHeight="1" x14ac:dyDescent="0.35">
      <c r="A161" s="10" t="s">
        <v>19</v>
      </c>
      <c r="B161" s="23">
        <v>127253.74</v>
      </c>
      <c r="C161" s="25">
        <f t="shared" si="2"/>
        <v>6937.95</v>
      </c>
      <c r="D161" s="25"/>
      <c r="E161" s="25"/>
      <c r="F161" s="25"/>
      <c r="G161" s="25"/>
      <c r="H161" s="25"/>
      <c r="I161" s="25"/>
      <c r="J161" s="25"/>
      <c r="K161" s="25">
        <v>752.95</v>
      </c>
      <c r="L161" s="25"/>
      <c r="M161" s="25"/>
      <c r="N161" s="25"/>
      <c r="O161" s="25"/>
      <c r="P161" s="25"/>
      <c r="Q161" s="25"/>
      <c r="R161" s="25">
        <v>5773</v>
      </c>
      <c r="S161" s="25"/>
      <c r="T161" s="25"/>
      <c r="U161" s="25">
        <v>412</v>
      </c>
      <c r="V161" s="26"/>
      <c r="W161" s="25"/>
      <c r="X161" s="25"/>
    </row>
    <row r="162" spans="1:24" s="8" customFormat="1" ht="15.75" customHeight="1" x14ac:dyDescent="0.35">
      <c r="A162" s="47" t="s">
        <v>20</v>
      </c>
      <c r="B162" s="35">
        <v>316668.71999999997</v>
      </c>
      <c r="C162" s="25">
        <f t="shared" si="2"/>
        <v>68959.165999999983</v>
      </c>
      <c r="D162" s="36"/>
      <c r="E162" s="36"/>
      <c r="F162" s="36"/>
      <c r="G162" s="25">
        <f>2157.182+51509</f>
        <v>53666.182000000001</v>
      </c>
      <c r="H162" s="36"/>
      <c r="I162" s="36"/>
      <c r="J162" s="36">
        <f>788.414+2774.18</f>
        <v>3562.5940000000001</v>
      </c>
      <c r="K162" s="36">
        <f>2257.4+376.48+376.48</f>
        <v>3010.36</v>
      </c>
      <c r="L162" s="36"/>
      <c r="M162" s="36"/>
      <c r="N162" s="36"/>
      <c r="O162" s="36"/>
      <c r="P162" s="36"/>
      <c r="Q162" s="36">
        <v>1969.42</v>
      </c>
      <c r="R162" s="36"/>
      <c r="S162" s="36">
        <v>1096.52</v>
      </c>
      <c r="T162" s="36">
        <v>1147.54</v>
      </c>
      <c r="U162" s="36">
        <f>2678.51+97</f>
        <v>2775.51</v>
      </c>
      <c r="V162" s="37">
        <f>865.52+865.52</f>
        <v>1731.04</v>
      </c>
      <c r="W162" s="36"/>
      <c r="X162" s="36"/>
    </row>
    <row r="163" spans="1:24" ht="15.75" customHeight="1" x14ac:dyDescent="0.35">
      <c r="A163" s="10" t="s">
        <v>21</v>
      </c>
      <c r="B163" s="23">
        <v>341004.6</v>
      </c>
      <c r="C163" s="25">
        <f t="shared" si="2"/>
        <v>3022755.07</v>
      </c>
      <c r="D163" s="25"/>
      <c r="E163" s="25"/>
      <c r="F163" s="25">
        <v>2866230</v>
      </c>
      <c r="G163" s="25">
        <v>82918</v>
      </c>
      <c r="H163" s="25"/>
      <c r="I163" s="25"/>
      <c r="J163" s="25">
        <f>3035+1820.74+3022</f>
        <v>7877.74</v>
      </c>
      <c r="K163" s="25"/>
      <c r="L163" s="25"/>
      <c r="M163" s="25"/>
      <c r="N163" s="25">
        <v>248.98</v>
      </c>
      <c r="O163" s="25"/>
      <c r="P163" s="25"/>
      <c r="Q163" s="25">
        <f>3361.82+7937</f>
        <v>11298.82</v>
      </c>
      <c r="R163" s="25"/>
      <c r="S163" s="25"/>
      <c r="T163" s="25"/>
      <c r="U163" s="25"/>
      <c r="V163" s="26">
        <f>2842.51+4255</f>
        <v>7097.51</v>
      </c>
      <c r="W163" s="25">
        <v>47084.02</v>
      </c>
      <c r="X163" s="25"/>
    </row>
    <row r="164" spans="1:24" s="7" customFormat="1" ht="15.75" customHeight="1" x14ac:dyDescent="0.35">
      <c r="A164" s="10" t="s">
        <v>22</v>
      </c>
      <c r="B164" s="23">
        <v>346008.24</v>
      </c>
      <c r="C164" s="25">
        <f t="shared" si="2"/>
        <v>420481.99200000003</v>
      </c>
      <c r="D164" s="25">
        <v>1736.46</v>
      </c>
      <c r="E164" s="25"/>
      <c r="F164" s="25"/>
      <c r="G164" s="25">
        <v>275138</v>
      </c>
      <c r="H164" s="25"/>
      <c r="I164" s="25"/>
      <c r="J164" s="25">
        <f>2379.85+4665</f>
        <v>7044.85</v>
      </c>
      <c r="K164" s="25"/>
      <c r="L164" s="25">
        <f>20423.7+17147.7+9045</f>
        <v>46616.4</v>
      </c>
      <c r="M164" s="25"/>
      <c r="N164" s="25">
        <v>4420.6499999999996</v>
      </c>
      <c r="O164" s="25">
        <f>5780.91+61701.03</f>
        <v>67481.94</v>
      </c>
      <c r="P164" s="25"/>
      <c r="Q164" s="25"/>
      <c r="R164" s="25"/>
      <c r="S164" s="25"/>
      <c r="T164" s="25">
        <f>579.899+830</f>
        <v>1409.8989999999999</v>
      </c>
      <c r="U164" s="25">
        <v>260.27300000000002</v>
      </c>
      <c r="V164" s="26">
        <f>865.52+15508</f>
        <v>16373.52</v>
      </c>
      <c r="W164" s="25"/>
      <c r="X164" s="25"/>
    </row>
    <row r="165" spans="1:24" s="46" customFormat="1" ht="15.75" customHeight="1" x14ac:dyDescent="0.35">
      <c r="A165" s="10" t="s">
        <v>23</v>
      </c>
      <c r="B165" s="23">
        <v>331854</v>
      </c>
      <c r="C165" s="25">
        <f t="shared" si="2"/>
        <v>105456.954</v>
      </c>
      <c r="D165" s="25"/>
      <c r="E165" s="25"/>
      <c r="F165" s="25"/>
      <c r="G165" s="25"/>
      <c r="H165" s="25">
        <v>21162</v>
      </c>
      <c r="I165" s="25"/>
      <c r="J165" s="25">
        <v>5202.4399999999996</v>
      </c>
      <c r="K165" s="25"/>
      <c r="L165" s="25"/>
      <c r="M165" s="25"/>
      <c r="N165" s="25">
        <v>14876.779</v>
      </c>
      <c r="O165" s="25">
        <v>16691</v>
      </c>
      <c r="P165" s="25"/>
      <c r="Q165" s="30">
        <f>3383.02+4098.85+19974.3+1994.2</f>
        <v>29450.37</v>
      </c>
      <c r="R165" s="25"/>
      <c r="S165" s="25">
        <f>525.96+526.422+3693.71</f>
        <v>4746.0920000000006</v>
      </c>
      <c r="T165" s="26">
        <f>496.107+495.919+9497</f>
        <v>10489.026</v>
      </c>
      <c r="U165" s="25">
        <v>244.43700000000001</v>
      </c>
      <c r="V165" s="30">
        <f>432.77+1081.16+1080.88</f>
        <v>2594.8100000000004</v>
      </c>
      <c r="W165" s="25"/>
      <c r="X165" s="25"/>
    </row>
    <row r="166" spans="1:24" s="7" customFormat="1" ht="15.75" customHeight="1" x14ac:dyDescent="0.35">
      <c r="A166" s="10" t="s">
        <v>24</v>
      </c>
      <c r="B166" s="23">
        <v>351307.98</v>
      </c>
      <c r="C166" s="25">
        <f t="shared" si="2"/>
        <v>208433.65999999997</v>
      </c>
      <c r="D166" s="25"/>
      <c r="E166" s="25"/>
      <c r="F166" s="25"/>
      <c r="G166" s="25"/>
      <c r="H166" s="25"/>
      <c r="I166" s="25"/>
      <c r="J166" s="25">
        <v>1255.52</v>
      </c>
      <c r="K166" s="25"/>
      <c r="L166" s="25">
        <v>4188</v>
      </c>
      <c r="M166" s="25"/>
      <c r="N166" s="25"/>
      <c r="O166" s="25">
        <v>4378.47</v>
      </c>
      <c r="P166" s="25"/>
      <c r="Q166" s="25">
        <f>8308.07+26007</f>
        <v>34315.07</v>
      </c>
      <c r="R166" s="25"/>
      <c r="S166" s="25"/>
      <c r="T166" s="25">
        <v>455.48</v>
      </c>
      <c r="U166" s="25">
        <v>112.1</v>
      </c>
      <c r="V166" s="26"/>
      <c r="W166" s="25"/>
      <c r="X166" s="25">
        <v>163729.01999999999</v>
      </c>
    </row>
    <row r="167" spans="1:24" s="7" customFormat="1" ht="15.75" customHeight="1" x14ac:dyDescent="0.35">
      <c r="A167" s="10" t="s">
        <v>25</v>
      </c>
      <c r="B167" s="23">
        <v>434589.23</v>
      </c>
      <c r="C167" s="25">
        <f t="shared" si="2"/>
        <v>3793.7559999999999</v>
      </c>
      <c r="D167" s="25"/>
      <c r="E167" s="25"/>
      <c r="F167" s="25"/>
      <c r="G167" s="25"/>
      <c r="H167" s="25"/>
      <c r="I167" s="25"/>
      <c r="J167" s="25">
        <f>761.9+969.96</f>
        <v>1731.8600000000001</v>
      </c>
      <c r="K167" s="25"/>
      <c r="L167" s="25"/>
      <c r="M167" s="25"/>
      <c r="N167" s="25"/>
      <c r="O167" s="25"/>
      <c r="P167" s="25"/>
      <c r="Q167" s="25">
        <v>1679.14</v>
      </c>
      <c r="R167" s="25"/>
      <c r="S167" s="25"/>
      <c r="T167" s="25">
        <v>252.614</v>
      </c>
      <c r="U167" s="25">
        <v>130.142</v>
      </c>
      <c r="V167" s="26"/>
      <c r="W167" s="25"/>
      <c r="X167" s="25"/>
    </row>
    <row r="168" spans="1:24" ht="15.75" customHeight="1" x14ac:dyDescent="0.35">
      <c r="A168" s="10" t="s">
        <v>26</v>
      </c>
      <c r="B168" s="23">
        <v>204140.28</v>
      </c>
      <c r="C168" s="25">
        <f t="shared" si="2"/>
        <v>76980.209999999992</v>
      </c>
      <c r="D168" s="25"/>
      <c r="E168" s="25"/>
      <c r="F168" s="25"/>
      <c r="G168" s="25"/>
      <c r="H168" s="25"/>
      <c r="I168" s="25"/>
      <c r="J168" s="25">
        <v>7612.84</v>
      </c>
      <c r="K168" s="25">
        <v>933.38</v>
      </c>
      <c r="L168" s="25"/>
      <c r="M168" s="25"/>
      <c r="N168" s="25"/>
      <c r="O168" s="25"/>
      <c r="P168" s="25"/>
      <c r="Q168" s="25">
        <v>33512.6</v>
      </c>
      <c r="R168" s="25"/>
      <c r="S168" s="25">
        <v>29303.74</v>
      </c>
      <c r="T168" s="25">
        <v>1436</v>
      </c>
      <c r="U168" s="25"/>
      <c r="V168" s="26">
        <f>432.77+3748.88</f>
        <v>4181.6499999999996</v>
      </c>
      <c r="W168" s="25"/>
      <c r="X168" s="25"/>
    </row>
    <row r="169" spans="1:24" s="7" customFormat="1" ht="15.75" customHeight="1" x14ac:dyDescent="0.35">
      <c r="A169" s="10" t="s">
        <v>27</v>
      </c>
      <c r="B169" s="23">
        <v>1039684.98</v>
      </c>
      <c r="C169" s="25">
        <f t="shared" si="2"/>
        <v>114799.05800000002</v>
      </c>
      <c r="D169" s="25"/>
      <c r="E169" s="25"/>
      <c r="F169" s="25"/>
      <c r="G169" s="25">
        <v>69726</v>
      </c>
      <c r="H169" s="25"/>
      <c r="I169" s="25"/>
      <c r="J169" s="25">
        <v>10974.49</v>
      </c>
      <c r="K169" s="25">
        <v>1039.6980000000001</v>
      </c>
      <c r="L169" s="25">
        <v>10200.5</v>
      </c>
      <c r="M169" s="25"/>
      <c r="N169" s="25"/>
      <c r="O169" s="25"/>
      <c r="P169" s="25"/>
      <c r="Q169" s="25">
        <f>1702.74+4134.72</f>
        <v>5837.46</v>
      </c>
      <c r="R169" s="25">
        <v>2620</v>
      </c>
      <c r="S169" s="25">
        <f>3647.96+628</f>
        <v>4275.96</v>
      </c>
      <c r="T169" s="25"/>
      <c r="U169" s="25">
        <v>4581.2299999999996</v>
      </c>
      <c r="V169" s="26">
        <v>5543.72</v>
      </c>
      <c r="W169" s="25"/>
      <c r="X169" s="25"/>
    </row>
    <row r="170" spans="1:24" ht="15.75" customHeight="1" x14ac:dyDescent="0.35">
      <c r="A170" s="11" t="s">
        <v>28</v>
      </c>
      <c r="B170" s="23">
        <v>67764.479999999996</v>
      </c>
      <c r="C170" s="25">
        <f t="shared" si="2"/>
        <v>186010.726</v>
      </c>
      <c r="D170" s="25"/>
      <c r="E170" s="25"/>
      <c r="F170" s="25"/>
      <c r="G170" s="25">
        <f>6297.31+2336</f>
        <v>8633.3100000000013</v>
      </c>
      <c r="H170" s="25">
        <v>112013</v>
      </c>
      <c r="I170" s="25"/>
      <c r="J170" s="25"/>
      <c r="K170" s="25">
        <v>752.95</v>
      </c>
      <c r="L170" s="25"/>
      <c r="M170" s="25"/>
      <c r="N170" s="25">
        <f>2035.94+17188.328</f>
        <v>19224.268</v>
      </c>
      <c r="O170" s="25">
        <v>30439</v>
      </c>
      <c r="P170" s="25"/>
      <c r="Q170" s="25">
        <f>4358.578+10147</f>
        <v>14505.578000000001</v>
      </c>
      <c r="R170" s="25"/>
      <c r="S170" s="25"/>
      <c r="T170" s="25"/>
      <c r="U170" s="25">
        <v>442.62</v>
      </c>
      <c r="V170" s="26"/>
      <c r="W170" s="25"/>
      <c r="X170" s="25"/>
    </row>
    <row r="171" spans="1:24" s="7" customFormat="1" ht="15.75" customHeight="1" x14ac:dyDescent="0.35">
      <c r="A171" s="11" t="s">
        <v>29</v>
      </c>
      <c r="B171" s="23">
        <v>47891.28</v>
      </c>
      <c r="C171" s="25">
        <f t="shared" si="2"/>
        <v>27011.539999999997</v>
      </c>
      <c r="D171" s="25"/>
      <c r="E171" s="25"/>
      <c r="F171" s="25"/>
      <c r="G171" s="25">
        <f>16333+5117.92+5118</f>
        <v>26568.92</v>
      </c>
      <c r="H171" s="25"/>
      <c r="I171" s="25"/>
      <c r="J171" s="25"/>
      <c r="K171" s="30"/>
      <c r="L171" s="25"/>
      <c r="M171" s="25"/>
      <c r="N171" s="25"/>
      <c r="O171" s="25"/>
      <c r="P171" s="25"/>
      <c r="Q171" s="25"/>
      <c r="R171" s="25"/>
      <c r="S171" s="25"/>
      <c r="T171" s="25"/>
      <c r="U171" s="25">
        <v>442.62</v>
      </c>
      <c r="V171" s="30"/>
      <c r="W171" s="25"/>
      <c r="X171" s="25"/>
    </row>
    <row r="172" spans="1:24" ht="15.75" customHeight="1" x14ac:dyDescent="0.35">
      <c r="A172" s="11" t="s">
        <v>30</v>
      </c>
      <c r="B172" s="23">
        <v>69982.080000000002</v>
      </c>
      <c r="C172" s="25">
        <f t="shared" si="2"/>
        <v>4238</v>
      </c>
      <c r="D172" s="25"/>
      <c r="E172" s="25"/>
      <c r="F172" s="25"/>
      <c r="G172" s="25"/>
      <c r="H172" s="25"/>
      <c r="I172" s="25"/>
      <c r="J172" s="25"/>
      <c r="K172" s="25">
        <v>1200</v>
      </c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6">
        <v>3038</v>
      </c>
      <c r="W172" s="25"/>
      <c r="X172" s="25"/>
    </row>
    <row r="173" spans="1:24" ht="15.75" customHeight="1" x14ac:dyDescent="0.35">
      <c r="A173" s="11" t="s">
        <v>31</v>
      </c>
      <c r="B173" s="23">
        <v>125577.48</v>
      </c>
      <c r="C173" s="25">
        <f t="shared" si="2"/>
        <v>60894.11099999999</v>
      </c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>
        <f>1423.03+27527.93+2012.974+5010</f>
        <v>35973.933999999994</v>
      </c>
      <c r="R173" s="25"/>
      <c r="S173" s="25">
        <v>4325.74</v>
      </c>
      <c r="T173" s="25">
        <v>661.23699999999997</v>
      </c>
      <c r="U173" s="25">
        <v>2018</v>
      </c>
      <c r="V173" s="30">
        <f>15955.2+1960</f>
        <v>17915.2</v>
      </c>
      <c r="W173" s="25"/>
      <c r="X173" s="25"/>
    </row>
    <row r="174" spans="1:24" ht="15.75" customHeight="1" x14ac:dyDescent="0.35">
      <c r="A174" s="11" t="s">
        <v>32</v>
      </c>
      <c r="B174" s="23">
        <v>278017.44</v>
      </c>
      <c r="C174" s="25">
        <f t="shared" si="2"/>
        <v>7948.0444000000007</v>
      </c>
      <c r="D174" s="25"/>
      <c r="E174" s="25"/>
      <c r="F174" s="25"/>
      <c r="G174" s="25"/>
      <c r="H174" s="25"/>
      <c r="I174" s="25"/>
      <c r="J174" s="25">
        <v>1892.73</v>
      </c>
      <c r="K174" s="25">
        <v>601</v>
      </c>
      <c r="L174" s="25"/>
      <c r="M174" s="25"/>
      <c r="N174" s="25">
        <v>1090.8273999999999</v>
      </c>
      <c r="O174" s="25"/>
      <c r="P174" s="25"/>
      <c r="Q174" s="25"/>
      <c r="R174" s="25"/>
      <c r="S174" s="25"/>
      <c r="T174" s="25">
        <f>1309.48+661.237</f>
        <v>1970.7170000000001</v>
      </c>
      <c r="U174" s="25"/>
      <c r="V174" s="26">
        <f>432.77+1960</f>
        <v>2392.77</v>
      </c>
      <c r="W174" s="25"/>
      <c r="X174" s="25"/>
    </row>
    <row r="175" spans="1:24" s="7" customFormat="1" ht="15.75" customHeight="1" x14ac:dyDescent="0.35">
      <c r="A175" s="11" t="s">
        <v>33</v>
      </c>
      <c r="B175" s="23">
        <v>74996.160000000003</v>
      </c>
      <c r="C175" s="25">
        <f t="shared" si="2"/>
        <v>8913.61</v>
      </c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>
        <v>5996</v>
      </c>
      <c r="R175" s="25"/>
      <c r="S175" s="25">
        <v>525.96</v>
      </c>
      <c r="T175" s="25"/>
      <c r="U175" s="25"/>
      <c r="V175" s="26">
        <f>432.77+1958.88</f>
        <v>2391.65</v>
      </c>
      <c r="W175" s="25"/>
      <c r="X175" s="25"/>
    </row>
    <row r="176" spans="1:24" ht="15.75" customHeight="1" x14ac:dyDescent="0.35">
      <c r="A176" s="11" t="s">
        <v>34</v>
      </c>
      <c r="B176" s="23">
        <v>197622.6</v>
      </c>
      <c r="C176" s="25">
        <f t="shared" si="2"/>
        <v>22152.309000000001</v>
      </c>
      <c r="D176" s="25"/>
      <c r="E176" s="25"/>
      <c r="F176" s="25"/>
      <c r="G176" s="25"/>
      <c r="H176" s="25"/>
      <c r="I176" s="25"/>
      <c r="J176" s="25">
        <v>1135.6400000000001</v>
      </c>
      <c r="K176" s="25"/>
      <c r="L176" s="25"/>
      <c r="M176" s="25"/>
      <c r="N176" s="25"/>
      <c r="O176" s="25"/>
      <c r="P176" s="25"/>
      <c r="Q176" s="25">
        <v>1575</v>
      </c>
      <c r="R176" s="25"/>
      <c r="S176" s="25">
        <v>4537.1000000000004</v>
      </c>
      <c r="T176" s="25">
        <v>495.91899999999998</v>
      </c>
      <c r="U176" s="25">
        <v>11007</v>
      </c>
      <c r="V176" s="26">
        <f>432.77+2968.88</f>
        <v>3401.65</v>
      </c>
      <c r="W176" s="25"/>
      <c r="X176" s="25"/>
    </row>
    <row r="177" spans="1:24" ht="15.75" customHeight="1" x14ac:dyDescent="0.35">
      <c r="A177" s="11" t="s">
        <v>35</v>
      </c>
      <c r="B177" s="23">
        <v>137945.16</v>
      </c>
      <c r="C177" s="25">
        <f t="shared" si="2"/>
        <v>11551.859</v>
      </c>
      <c r="D177" s="25"/>
      <c r="E177" s="25"/>
      <c r="F177" s="25"/>
      <c r="G177" s="25"/>
      <c r="H177" s="25"/>
      <c r="I177" s="25"/>
      <c r="J177" s="25">
        <v>3972.88</v>
      </c>
      <c r="K177" s="25"/>
      <c r="L177" s="25">
        <v>530</v>
      </c>
      <c r="M177" s="25"/>
      <c r="N177" s="25"/>
      <c r="O177" s="25"/>
      <c r="P177" s="25"/>
      <c r="Q177" s="25"/>
      <c r="R177" s="25"/>
      <c r="S177" s="25">
        <v>4160.41</v>
      </c>
      <c r="T177" s="25">
        <v>495.91899999999998</v>
      </c>
      <c r="U177" s="25"/>
      <c r="V177" s="26">
        <f>432.77+1959.88</f>
        <v>2392.65</v>
      </c>
      <c r="W177" s="25"/>
      <c r="X177" s="25"/>
    </row>
    <row r="178" spans="1:24" ht="15.75" customHeight="1" x14ac:dyDescent="0.35">
      <c r="A178" s="11" t="s">
        <v>36</v>
      </c>
      <c r="B178" s="23">
        <v>18769.560000000001</v>
      </c>
      <c r="C178" s="25">
        <f t="shared" si="2"/>
        <v>7444.6399999999994</v>
      </c>
      <c r="D178" s="25"/>
      <c r="E178" s="25"/>
      <c r="F178" s="25"/>
      <c r="G178" s="25"/>
      <c r="H178" s="25"/>
      <c r="I178" s="25"/>
      <c r="J178" s="25"/>
      <c r="K178" s="25">
        <v>933.65099999999995</v>
      </c>
      <c r="L178" s="25"/>
      <c r="M178" s="25"/>
      <c r="N178" s="25"/>
      <c r="O178" s="25">
        <v>1101.27</v>
      </c>
      <c r="P178" s="25"/>
      <c r="Q178" s="25"/>
      <c r="R178" s="25"/>
      <c r="S178" s="25">
        <v>4913.8</v>
      </c>
      <c r="T178" s="25">
        <v>495.91899999999998</v>
      </c>
      <c r="U178" s="25"/>
      <c r="V178" s="25"/>
      <c r="W178" s="25"/>
      <c r="X178" s="25"/>
    </row>
    <row r="179" spans="1:24" s="7" customFormat="1" ht="15.75" customHeight="1" x14ac:dyDescent="0.35">
      <c r="A179" s="11" t="s">
        <v>37</v>
      </c>
      <c r="B179" s="23">
        <v>116973.72</v>
      </c>
      <c r="C179" s="25">
        <f t="shared" si="2"/>
        <v>28102.520000000004</v>
      </c>
      <c r="D179" s="25"/>
      <c r="E179" s="25"/>
      <c r="F179" s="25"/>
      <c r="G179" s="25">
        <v>436.18</v>
      </c>
      <c r="H179" s="25"/>
      <c r="I179" s="25"/>
      <c r="J179" s="25">
        <v>6189.88</v>
      </c>
      <c r="K179" s="25"/>
      <c r="L179" s="25"/>
      <c r="M179" s="25"/>
      <c r="N179" s="25">
        <f>1711.15+1695.66</f>
        <v>3406.8100000000004</v>
      </c>
      <c r="O179" s="25"/>
      <c r="P179" s="25"/>
      <c r="Q179" s="25">
        <v>15677</v>
      </c>
      <c r="R179" s="25"/>
      <c r="S179" s="25"/>
      <c r="T179" s="25"/>
      <c r="U179" s="25"/>
      <c r="V179" s="26">
        <f>432.77+1959.88</f>
        <v>2392.65</v>
      </c>
      <c r="W179" s="25"/>
      <c r="X179" s="25"/>
    </row>
    <row r="180" spans="1:24" s="7" customFormat="1" ht="15.75" customHeight="1" x14ac:dyDescent="0.35">
      <c r="A180" s="11" t="s">
        <v>38</v>
      </c>
      <c r="B180" s="23">
        <v>167422.44</v>
      </c>
      <c r="C180" s="25">
        <f t="shared" si="2"/>
        <v>37781.478999999999</v>
      </c>
      <c r="D180" s="25"/>
      <c r="E180" s="25"/>
      <c r="F180" s="25"/>
      <c r="G180" s="25"/>
      <c r="H180" s="25"/>
      <c r="I180" s="25"/>
      <c r="J180" s="25">
        <v>757.38</v>
      </c>
      <c r="K180" s="25"/>
      <c r="L180" s="25"/>
      <c r="M180" s="25"/>
      <c r="N180" s="25"/>
      <c r="O180" s="25"/>
      <c r="P180" s="25"/>
      <c r="Q180" s="25">
        <v>17306</v>
      </c>
      <c r="R180" s="25"/>
      <c r="S180" s="25">
        <f>2399.3+3572.34+315</f>
        <v>6286.64</v>
      </c>
      <c r="T180" s="25">
        <f>495.919+1818.38</f>
        <v>2314.299</v>
      </c>
      <c r="U180" s="25">
        <v>8288.6</v>
      </c>
      <c r="V180" s="26">
        <f>868.68+1959.88</f>
        <v>2828.56</v>
      </c>
      <c r="W180" s="25"/>
      <c r="X180" s="25"/>
    </row>
    <row r="181" spans="1:24" s="7" customFormat="1" ht="15.75" customHeight="1" x14ac:dyDescent="0.35">
      <c r="A181" s="11" t="s">
        <v>39</v>
      </c>
      <c r="B181" s="23">
        <v>73371.72</v>
      </c>
      <c r="C181" s="25">
        <f t="shared" si="2"/>
        <v>901018.57200000004</v>
      </c>
      <c r="D181" s="25"/>
      <c r="E181" s="25">
        <v>887462</v>
      </c>
      <c r="F181" s="25"/>
      <c r="G181" s="25"/>
      <c r="H181" s="25"/>
      <c r="I181" s="25"/>
      <c r="J181" s="25">
        <f>4638+4152.42+1069</f>
        <v>9859.42</v>
      </c>
      <c r="K181" s="25">
        <v>366.98</v>
      </c>
      <c r="L181" s="25"/>
      <c r="M181" s="25"/>
      <c r="N181" s="25"/>
      <c r="O181" s="25"/>
      <c r="P181" s="25"/>
      <c r="Q181" s="25"/>
      <c r="R181" s="25"/>
      <c r="S181" s="25"/>
      <c r="T181" s="25">
        <v>578.79</v>
      </c>
      <c r="U181" s="25">
        <v>358.73200000000003</v>
      </c>
      <c r="V181" s="26">
        <f>432.77+1959.88</f>
        <v>2392.65</v>
      </c>
      <c r="W181" s="25"/>
      <c r="X181" s="25"/>
    </row>
    <row r="182" spans="1:24" ht="15.75" customHeight="1" x14ac:dyDescent="0.35">
      <c r="A182" s="11" t="s">
        <v>40</v>
      </c>
      <c r="B182" s="23">
        <v>366950.16</v>
      </c>
      <c r="C182" s="25">
        <f t="shared" si="2"/>
        <v>96481.3</v>
      </c>
      <c r="D182" s="25"/>
      <c r="E182" s="25"/>
      <c r="F182" s="25"/>
      <c r="G182" s="25"/>
      <c r="H182" s="25"/>
      <c r="I182" s="25"/>
      <c r="J182" s="25">
        <v>765.63099999999997</v>
      </c>
      <c r="K182" s="25">
        <v>5965</v>
      </c>
      <c r="L182" s="25"/>
      <c r="M182" s="25"/>
      <c r="N182" s="25"/>
      <c r="O182" s="25"/>
      <c r="P182" s="25"/>
      <c r="Q182" s="25">
        <f>18443.7+5546.01+13368</f>
        <v>37357.71</v>
      </c>
      <c r="R182" s="25">
        <v>8960</v>
      </c>
      <c r="S182" s="25">
        <f>18660+2924.03+3693.71+4053</f>
        <v>29330.739999999998</v>
      </c>
      <c r="T182" s="25">
        <f>7441.53+495.919</f>
        <v>7937.4489999999996</v>
      </c>
      <c r="U182" s="25"/>
      <c r="V182" s="26">
        <f>432.77+5732</f>
        <v>6164.77</v>
      </c>
      <c r="W182" s="25"/>
      <c r="X182" s="25"/>
    </row>
    <row r="183" spans="1:24" s="7" customFormat="1" ht="15.75" customHeight="1" x14ac:dyDescent="0.35">
      <c r="A183" s="11" t="s">
        <v>41</v>
      </c>
      <c r="B183" s="23">
        <v>302495.15999999997</v>
      </c>
      <c r="C183" s="25">
        <f t="shared" si="2"/>
        <v>197064.019</v>
      </c>
      <c r="D183" s="25"/>
      <c r="E183" s="25"/>
      <c r="F183" s="25"/>
      <c r="G183" s="25"/>
      <c r="H183" s="25">
        <v>128024</v>
      </c>
      <c r="I183" s="25"/>
      <c r="J183" s="25">
        <v>39898.83</v>
      </c>
      <c r="K183" s="25">
        <f>7720.69+1867.3+5839+1867.3</f>
        <v>17294.29</v>
      </c>
      <c r="L183" s="25"/>
      <c r="M183" s="25"/>
      <c r="N183" s="25"/>
      <c r="O183" s="25"/>
      <c r="P183" s="25"/>
      <c r="Q183" s="25">
        <v>2628.43</v>
      </c>
      <c r="R183" s="25"/>
      <c r="S183" s="25">
        <f>1882.8+4447.1</f>
        <v>6329.9000000000005</v>
      </c>
      <c r="T183" s="25">
        <v>495.91899999999998</v>
      </c>
      <c r="U183" s="25"/>
      <c r="V183" s="26">
        <f>432.77+1959.88</f>
        <v>2392.65</v>
      </c>
      <c r="W183" s="25"/>
      <c r="X183" s="25"/>
    </row>
    <row r="184" spans="1:24" s="7" customFormat="1" ht="15.75" customHeight="1" x14ac:dyDescent="0.35">
      <c r="A184" s="11" t="s">
        <v>42</v>
      </c>
      <c r="B184" s="23">
        <v>362693.76</v>
      </c>
      <c r="C184" s="25">
        <f t="shared" si="2"/>
        <v>21187.017</v>
      </c>
      <c r="D184" s="25"/>
      <c r="E184" s="25"/>
      <c r="F184" s="25"/>
      <c r="G184" s="25"/>
      <c r="H184" s="25"/>
      <c r="I184" s="25"/>
      <c r="J184" s="25">
        <v>2594.1799999999998</v>
      </c>
      <c r="K184" s="25">
        <v>933.65099999999995</v>
      </c>
      <c r="L184" s="25"/>
      <c r="M184" s="25"/>
      <c r="N184" s="25"/>
      <c r="O184" s="25"/>
      <c r="P184" s="25"/>
      <c r="Q184" s="25">
        <v>3518.22</v>
      </c>
      <c r="R184" s="25"/>
      <c r="S184" s="25">
        <v>7854.12</v>
      </c>
      <c r="T184" s="25">
        <f>578.79+991.849</f>
        <v>1570.6390000000001</v>
      </c>
      <c r="U184" s="25">
        <v>244.43700000000001</v>
      </c>
      <c r="V184" s="26">
        <f>432.77+4039</f>
        <v>4471.7700000000004</v>
      </c>
      <c r="W184" s="25"/>
      <c r="X184" s="25"/>
    </row>
    <row r="185" spans="1:24" s="7" customFormat="1" ht="15.75" customHeight="1" x14ac:dyDescent="0.35">
      <c r="A185" s="11" t="s">
        <v>43</v>
      </c>
      <c r="B185" s="23">
        <v>167422.44</v>
      </c>
      <c r="C185" s="25">
        <f t="shared" si="2"/>
        <v>49390.962599999999</v>
      </c>
      <c r="D185" s="25"/>
      <c r="E185" s="25"/>
      <c r="F185" s="25"/>
      <c r="G185" s="25"/>
      <c r="H185" s="25"/>
      <c r="I185" s="25"/>
      <c r="J185" s="25">
        <f>1514.19+2877</f>
        <v>4391.1900000000005</v>
      </c>
      <c r="K185" s="25"/>
      <c r="L185" s="25"/>
      <c r="M185" s="25"/>
      <c r="N185" s="25"/>
      <c r="O185" s="25"/>
      <c r="P185" s="25"/>
      <c r="Q185" s="25">
        <f>4712.73+909.9216+15106.3+6961.95</f>
        <v>27690.901600000001</v>
      </c>
      <c r="R185" s="25"/>
      <c r="S185" s="25">
        <f>1624.92+4070.4</f>
        <v>5695.32</v>
      </c>
      <c r="T185" s="25">
        <f>496.107+661.237</f>
        <v>1157.3440000000001</v>
      </c>
      <c r="U185" s="25">
        <v>244.43700000000001</v>
      </c>
      <c r="V185" s="26">
        <f>432.77+9779</f>
        <v>10211.77</v>
      </c>
      <c r="W185" s="25"/>
      <c r="X185" s="25"/>
    </row>
    <row r="186" spans="1:24" s="7" customFormat="1" ht="15.75" customHeight="1" x14ac:dyDescent="0.35">
      <c r="A186" s="11" t="s">
        <v>44</v>
      </c>
      <c r="B186" s="23">
        <v>101358.24</v>
      </c>
      <c r="C186" s="25">
        <f t="shared" si="2"/>
        <v>22969.229000000003</v>
      </c>
      <c r="D186" s="25"/>
      <c r="E186" s="25"/>
      <c r="F186" s="25"/>
      <c r="G186" s="25">
        <v>851.7</v>
      </c>
      <c r="H186" s="25"/>
      <c r="I186" s="25"/>
      <c r="J186" s="25">
        <v>1986</v>
      </c>
      <c r="K186" s="25"/>
      <c r="L186" s="25"/>
      <c r="M186" s="25"/>
      <c r="N186" s="25"/>
      <c r="O186" s="25"/>
      <c r="P186" s="25"/>
      <c r="Q186" s="25">
        <v>13786.74</v>
      </c>
      <c r="R186" s="25"/>
      <c r="S186" s="25">
        <v>4537.1000000000004</v>
      </c>
      <c r="T186" s="25">
        <v>495.91899999999998</v>
      </c>
      <c r="U186" s="25"/>
      <c r="V186" s="26">
        <f>432.77+879</f>
        <v>1311.77</v>
      </c>
      <c r="W186" s="25"/>
      <c r="X186" s="25"/>
    </row>
    <row r="187" spans="1:24" s="7" customFormat="1" ht="15.75" customHeight="1" x14ac:dyDescent="0.35">
      <c r="A187" s="11" t="s">
        <v>45</v>
      </c>
      <c r="B187" s="23">
        <v>86964.84</v>
      </c>
      <c r="C187" s="25">
        <f t="shared" si="2"/>
        <v>123488.45000000001</v>
      </c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>
        <v>19540</v>
      </c>
      <c r="P187" s="25"/>
      <c r="Q187" s="25">
        <f>12986.6+13084.3+24350.48+5174.3+47920</f>
        <v>103515.68000000001</v>
      </c>
      <c r="R187" s="25"/>
      <c r="S187" s="25"/>
      <c r="T187" s="25"/>
      <c r="U187" s="25"/>
      <c r="V187" s="26">
        <v>432.77</v>
      </c>
      <c r="W187" s="25"/>
      <c r="X187" s="25"/>
    </row>
    <row r="188" spans="1:24" ht="15.75" customHeight="1" x14ac:dyDescent="0.35">
      <c r="A188" s="11" t="s">
        <v>46</v>
      </c>
      <c r="B188" s="23">
        <v>96914.04</v>
      </c>
      <c r="C188" s="25">
        <f t="shared" si="2"/>
        <v>56370.829999999994</v>
      </c>
      <c r="D188" s="25"/>
      <c r="E188" s="25"/>
      <c r="F188" s="25"/>
      <c r="G188" s="25">
        <v>548.05999999999995</v>
      </c>
      <c r="H188" s="25"/>
      <c r="I188" s="25"/>
      <c r="J188" s="25">
        <v>615</v>
      </c>
      <c r="K188" s="25">
        <v>52396</v>
      </c>
      <c r="L188" s="25">
        <v>2379</v>
      </c>
      <c r="M188" s="25"/>
      <c r="N188" s="25"/>
      <c r="O188" s="25"/>
      <c r="P188" s="25"/>
      <c r="Q188" s="25"/>
      <c r="R188" s="25"/>
      <c r="S188" s="25"/>
      <c r="T188" s="25"/>
      <c r="U188" s="25"/>
      <c r="V188" s="26">
        <v>432.77</v>
      </c>
      <c r="W188" s="25"/>
      <c r="X188" s="25"/>
    </row>
    <row r="189" spans="1:24" s="7" customFormat="1" ht="15.75" customHeight="1" x14ac:dyDescent="0.35">
      <c r="A189" s="11" t="s">
        <v>47</v>
      </c>
      <c r="B189" s="23">
        <v>207194.28</v>
      </c>
      <c r="C189" s="25">
        <f t="shared" si="2"/>
        <v>16271.970000000001</v>
      </c>
      <c r="D189" s="25"/>
      <c r="E189" s="25"/>
      <c r="F189" s="25"/>
      <c r="G189" s="25"/>
      <c r="H189" s="25"/>
      <c r="I189" s="25"/>
      <c r="J189" s="25">
        <f>2098.27+1413.77+990+5959+3812.5</f>
        <v>14273.54</v>
      </c>
      <c r="K189" s="25"/>
      <c r="L189" s="25"/>
      <c r="M189" s="25">
        <v>2099.17</v>
      </c>
      <c r="N189" s="25">
        <v>338.66</v>
      </c>
      <c r="O189" s="25"/>
      <c r="P189" s="25"/>
      <c r="Q189" s="25"/>
      <c r="R189" s="25"/>
      <c r="S189" s="25"/>
      <c r="T189" s="25"/>
      <c r="U189" s="25"/>
      <c r="V189" s="26">
        <f>432.77+1227</f>
        <v>1659.77</v>
      </c>
      <c r="W189" s="25"/>
      <c r="X189" s="25"/>
    </row>
    <row r="190" spans="1:24" s="7" customFormat="1" ht="15.75" customHeight="1" x14ac:dyDescent="0.35">
      <c r="A190" s="11" t="s">
        <v>289</v>
      </c>
      <c r="B190" s="23">
        <v>435265.2</v>
      </c>
      <c r="C190" s="25">
        <f t="shared" si="2"/>
        <v>107591.276</v>
      </c>
      <c r="D190" s="25"/>
      <c r="E190" s="25"/>
      <c r="F190" s="25"/>
      <c r="G190" s="25">
        <v>7302</v>
      </c>
      <c r="H190" s="25"/>
      <c r="I190" s="25"/>
      <c r="J190" s="25">
        <f>16334.3+4776.44+993.56</f>
        <v>22104.3</v>
      </c>
      <c r="K190" s="25">
        <f>734.22+668</f>
        <v>1402.22</v>
      </c>
      <c r="L190" s="25"/>
      <c r="M190" s="25"/>
      <c r="N190" s="25"/>
      <c r="O190" s="25">
        <v>5781.4340000000002</v>
      </c>
      <c r="P190" s="25"/>
      <c r="Q190" s="25">
        <f>17866.3+20480.6+6719.39+6788.82</f>
        <v>51855.109999999993</v>
      </c>
      <c r="R190" s="25"/>
      <c r="S190" s="25"/>
      <c r="T190" s="25">
        <f>842.072+3943.35</f>
        <v>4785.4219999999996</v>
      </c>
      <c r="U190" s="25">
        <f>5133.24+2545.13+3082.16+1438.38</f>
        <v>12198.91</v>
      </c>
      <c r="V190" s="26">
        <f>1081+1080.88</f>
        <v>2161.88</v>
      </c>
      <c r="W190" s="25"/>
      <c r="X190" s="25"/>
    </row>
    <row r="191" spans="1:24" s="7" customFormat="1" ht="15.75" customHeight="1" x14ac:dyDescent="0.35">
      <c r="A191" s="11" t="s">
        <v>48</v>
      </c>
      <c r="B191" s="23">
        <v>231878.04</v>
      </c>
      <c r="C191" s="25">
        <f t="shared" si="2"/>
        <v>37728.832000000002</v>
      </c>
      <c r="D191" s="25"/>
      <c r="E191" s="25"/>
      <c r="F191" s="25"/>
      <c r="G191" s="25">
        <v>1892.61</v>
      </c>
      <c r="H191" s="25"/>
      <c r="I191" s="25"/>
      <c r="J191" s="25">
        <f>382.816+4747.96+3835.28</f>
        <v>8966.0560000000005</v>
      </c>
      <c r="K191" s="25">
        <f>752.946+5341.12</f>
        <v>6094.0659999999998</v>
      </c>
      <c r="L191" s="25"/>
      <c r="M191" s="25"/>
      <c r="N191" s="25"/>
      <c r="O191" s="25"/>
      <c r="P191" s="25"/>
      <c r="Q191" s="25">
        <v>8063.27</v>
      </c>
      <c r="R191" s="25"/>
      <c r="S191" s="25"/>
      <c r="T191" s="25"/>
      <c r="U191" s="25">
        <v>10550.79</v>
      </c>
      <c r="V191" s="26">
        <f>1081.16+1080.88</f>
        <v>2162.04</v>
      </c>
      <c r="W191" s="25"/>
      <c r="X191" s="25"/>
    </row>
    <row r="192" spans="1:24" s="7" customFormat="1" ht="15.75" customHeight="1" x14ac:dyDescent="0.35">
      <c r="A192" s="14" t="s">
        <v>49</v>
      </c>
      <c r="B192" s="24">
        <v>262310.40000000002</v>
      </c>
      <c r="C192" s="25">
        <f t="shared" si="2"/>
        <v>25257.0026</v>
      </c>
      <c r="D192" s="28"/>
      <c r="E192" s="28"/>
      <c r="F192" s="28"/>
      <c r="G192" s="28"/>
      <c r="H192" s="28"/>
      <c r="I192" s="28"/>
      <c r="J192" s="28">
        <v>7087.73</v>
      </c>
      <c r="K192" s="28">
        <v>376.47899999999998</v>
      </c>
      <c r="L192" s="28"/>
      <c r="M192" s="28"/>
      <c r="N192" s="28">
        <v>1233.0999999999999</v>
      </c>
      <c r="O192" s="28"/>
      <c r="P192" s="28"/>
      <c r="Q192" s="28">
        <v>5375.51</v>
      </c>
      <c r="R192" s="28"/>
      <c r="S192" s="28"/>
      <c r="T192" s="28">
        <f>842.072+3520.11+2263</f>
        <v>6625.1819999999998</v>
      </c>
      <c r="U192" s="28">
        <f>57.9616+2339</f>
        <v>2396.9616000000001</v>
      </c>
      <c r="V192" s="29">
        <f>1081.16+1080.88</f>
        <v>2162.04</v>
      </c>
      <c r="W192" s="28"/>
      <c r="X192" s="28"/>
    </row>
    <row r="193" spans="1:24" s="7" customFormat="1" ht="15.75" customHeight="1" x14ac:dyDescent="0.35">
      <c r="A193" s="11" t="s">
        <v>50</v>
      </c>
      <c r="B193" s="23">
        <v>110976.84</v>
      </c>
      <c r="C193" s="25">
        <f t="shared" si="2"/>
        <v>61984.127999999997</v>
      </c>
      <c r="D193" s="25"/>
      <c r="E193" s="25"/>
      <c r="F193" s="25"/>
      <c r="G193" s="25"/>
      <c r="H193" s="25"/>
      <c r="I193" s="25"/>
      <c r="J193" s="25">
        <v>993.08799999999997</v>
      </c>
      <c r="K193" s="25"/>
      <c r="L193" s="25"/>
      <c r="M193" s="25"/>
      <c r="N193" s="25">
        <v>2158.2199999999998</v>
      </c>
      <c r="O193" s="25"/>
      <c r="P193" s="25"/>
      <c r="Q193" s="25"/>
      <c r="R193" s="25"/>
      <c r="S193" s="25"/>
      <c r="T193" s="25">
        <v>421.04</v>
      </c>
      <c r="U193" s="25">
        <v>2819</v>
      </c>
      <c r="V193" s="26">
        <f>1081.16+1080.88</f>
        <v>2162.04</v>
      </c>
      <c r="W193" s="25">
        <v>53430.74</v>
      </c>
      <c r="X193" s="25"/>
    </row>
    <row r="194" spans="1:24" s="7" customFormat="1" ht="15.75" customHeight="1" x14ac:dyDescent="0.35">
      <c r="A194" s="11" t="s">
        <v>51</v>
      </c>
      <c r="B194" s="23">
        <v>116048.76</v>
      </c>
      <c r="C194" s="25">
        <f t="shared" si="2"/>
        <v>6358.3200000000006</v>
      </c>
      <c r="D194" s="25"/>
      <c r="E194" s="25"/>
      <c r="F194" s="25"/>
      <c r="G194" s="25"/>
      <c r="H194" s="25"/>
      <c r="I194" s="25"/>
      <c r="J194" s="25">
        <v>378.78</v>
      </c>
      <c r="K194" s="25">
        <f>1111.3+466</f>
        <v>1577.3</v>
      </c>
      <c r="L194" s="25"/>
      <c r="M194" s="25"/>
      <c r="N194" s="25"/>
      <c r="O194" s="25"/>
      <c r="P194" s="25"/>
      <c r="Q194" s="25"/>
      <c r="R194" s="25"/>
      <c r="S194" s="25"/>
      <c r="T194" s="25">
        <f>842.07+1398.29</f>
        <v>2240.36</v>
      </c>
      <c r="U194" s="25"/>
      <c r="V194" s="26">
        <f>1080.88+1081</f>
        <v>2161.88</v>
      </c>
      <c r="W194" s="25"/>
      <c r="X194" s="25"/>
    </row>
    <row r="195" spans="1:24" ht="15.75" customHeight="1" x14ac:dyDescent="0.35">
      <c r="A195" s="11" t="s">
        <v>52</v>
      </c>
      <c r="B195" s="23">
        <v>83752.92</v>
      </c>
      <c r="C195" s="25">
        <f t="shared" si="2"/>
        <v>13843.15</v>
      </c>
      <c r="D195" s="25"/>
      <c r="E195" s="25"/>
      <c r="F195" s="25"/>
      <c r="G195" s="25"/>
      <c r="H195" s="25"/>
      <c r="I195" s="25"/>
      <c r="J195" s="25">
        <v>5823.15</v>
      </c>
      <c r="K195" s="25"/>
      <c r="L195" s="25"/>
      <c r="M195" s="25"/>
      <c r="N195" s="25"/>
      <c r="O195" s="25"/>
      <c r="P195" s="25"/>
      <c r="Q195" s="25">
        <v>5858</v>
      </c>
      <c r="R195" s="25"/>
      <c r="S195" s="25"/>
      <c r="T195" s="25"/>
      <c r="U195" s="25"/>
      <c r="V195" s="26">
        <f>1081+1081</f>
        <v>2162</v>
      </c>
      <c r="W195" s="25"/>
      <c r="X195" s="25"/>
    </row>
    <row r="196" spans="1:24" s="46" customFormat="1" ht="15.75" customHeight="1" x14ac:dyDescent="0.35">
      <c r="A196" s="10" t="s">
        <v>53</v>
      </c>
      <c r="B196" s="23">
        <v>505711.92</v>
      </c>
      <c r="C196" s="25">
        <f t="shared" si="2"/>
        <v>56424.465999999986</v>
      </c>
      <c r="D196" s="25"/>
      <c r="E196" s="25"/>
      <c r="F196" s="25"/>
      <c r="G196" s="25"/>
      <c r="H196" s="25"/>
      <c r="I196" s="25"/>
      <c r="J196" s="25">
        <v>6955.39</v>
      </c>
      <c r="K196" s="25">
        <f>2693.2+13058.1+752.946+367.11+19855.42</f>
        <v>36726.775999999998</v>
      </c>
      <c r="L196" s="25">
        <v>6501.28</v>
      </c>
      <c r="M196" s="25"/>
      <c r="N196" s="25"/>
      <c r="O196" s="25"/>
      <c r="P196" s="25"/>
      <c r="Q196" s="25">
        <v>1255.52</v>
      </c>
      <c r="R196" s="25"/>
      <c r="S196" s="25"/>
      <c r="T196" s="25">
        <v>3411.38</v>
      </c>
      <c r="U196" s="25">
        <v>493.24</v>
      </c>
      <c r="V196" s="26">
        <v>1080.8800000000001</v>
      </c>
      <c r="W196" s="25"/>
      <c r="X196" s="25"/>
    </row>
    <row r="197" spans="1:24" s="7" customFormat="1" ht="15.75" customHeight="1" x14ac:dyDescent="0.35">
      <c r="A197" s="11" t="s">
        <v>54</v>
      </c>
      <c r="B197" s="23">
        <v>51742.8</v>
      </c>
      <c r="C197" s="25">
        <f t="shared" si="2"/>
        <v>9308.0420000000013</v>
      </c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>
        <f>2632.4+6040.79</f>
        <v>8673.19</v>
      </c>
      <c r="U197" s="25">
        <v>634.85199999999998</v>
      </c>
      <c r="V197" s="26"/>
      <c r="W197" s="25"/>
      <c r="X197" s="25"/>
    </row>
    <row r="198" spans="1:24" ht="15.75" customHeight="1" x14ac:dyDescent="0.35">
      <c r="A198" s="10" t="s">
        <v>55</v>
      </c>
      <c r="B198" s="23">
        <v>90345.96</v>
      </c>
      <c r="C198" s="25">
        <f t="shared" si="2"/>
        <v>20258.900000000001</v>
      </c>
      <c r="D198" s="25"/>
      <c r="E198" s="25"/>
      <c r="F198" s="25"/>
      <c r="G198" s="25"/>
      <c r="H198" s="25"/>
      <c r="I198" s="25"/>
      <c r="J198" s="25">
        <v>20258.900000000001</v>
      </c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6"/>
      <c r="W198" s="25"/>
      <c r="X198" s="25"/>
    </row>
    <row r="199" spans="1:24" s="7" customFormat="1" ht="15.75" customHeight="1" x14ac:dyDescent="0.35">
      <c r="A199" s="10" t="s">
        <v>56</v>
      </c>
      <c r="B199" s="23">
        <v>276624.96000000002</v>
      </c>
      <c r="C199" s="25">
        <f t="shared" si="2"/>
        <v>96146.72</v>
      </c>
      <c r="D199" s="25"/>
      <c r="E199" s="25"/>
      <c r="F199" s="25"/>
      <c r="G199" s="25">
        <f>90456+767.35</f>
        <v>91223.35</v>
      </c>
      <c r="H199" s="25"/>
      <c r="I199" s="25"/>
      <c r="J199" s="25">
        <f>849+1926</f>
        <v>2775</v>
      </c>
      <c r="K199" s="25">
        <v>376.48</v>
      </c>
      <c r="L199" s="25"/>
      <c r="M199" s="25">
        <v>848.75</v>
      </c>
      <c r="N199" s="25"/>
      <c r="O199" s="25"/>
      <c r="P199" s="25"/>
      <c r="Q199" s="25"/>
      <c r="R199" s="25"/>
      <c r="S199" s="25">
        <v>691.01</v>
      </c>
      <c r="T199" s="25"/>
      <c r="U199" s="25"/>
      <c r="V199" s="26">
        <v>1080.8800000000001</v>
      </c>
      <c r="W199" s="25"/>
      <c r="X199" s="25"/>
    </row>
    <row r="200" spans="1:24" s="7" customFormat="1" ht="15.75" customHeight="1" x14ac:dyDescent="0.35">
      <c r="A200" s="10" t="s">
        <v>57</v>
      </c>
      <c r="B200" s="23">
        <v>191673.36</v>
      </c>
      <c r="C200" s="25">
        <f t="shared" si="2"/>
        <v>371433.45</v>
      </c>
      <c r="D200" s="25"/>
      <c r="E200" s="25"/>
      <c r="F200" s="25"/>
      <c r="G200" s="25">
        <f>369364+1232.52</f>
        <v>370596.52</v>
      </c>
      <c r="H200" s="25"/>
      <c r="I200" s="25"/>
      <c r="J200" s="25"/>
      <c r="K200" s="25">
        <v>367.48</v>
      </c>
      <c r="L200" s="25"/>
      <c r="M200" s="25"/>
      <c r="N200" s="25">
        <v>469.45</v>
      </c>
      <c r="O200" s="25"/>
      <c r="P200" s="25"/>
      <c r="Q200" s="25"/>
      <c r="R200" s="25"/>
      <c r="S200" s="25"/>
      <c r="T200" s="25"/>
      <c r="U200" s="25"/>
      <c r="V200" s="26"/>
      <c r="W200" s="25"/>
      <c r="X200" s="25"/>
    </row>
    <row r="201" spans="1:24" s="7" customFormat="1" ht="15.75" customHeight="1" x14ac:dyDescent="0.35">
      <c r="A201" s="10" t="s">
        <v>58</v>
      </c>
      <c r="B201" s="23">
        <v>107527.2</v>
      </c>
      <c r="C201" s="25">
        <f t="shared" si="2"/>
        <v>262183.83799999999</v>
      </c>
      <c r="D201" s="25"/>
      <c r="E201" s="25">
        <v>118501</v>
      </c>
      <c r="F201" s="25"/>
      <c r="G201" s="25">
        <f>4258.48+1705.97</f>
        <v>5964.45</v>
      </c>
      <c r="H201" s="25"/>
      <c r="I201" s="25"/>
      <c r="J201" s="25">
        <v>2909</v>
      </c>
      <c r="K201" s="25">
        <f>376.479+13580.43+376.479</f>
        <v>14333.387999999999</v>
      </c>
      <c r="L201" s="25"/>
      <c r="M201" s="25"/>
      <c r="N201" s="25">
        <v>115956</v>
      </c>
      <c r="O201" s="25"/>
      <c r="P201" s="25"/>
      <c r="Q201" s="25"/>
      <c r="R201" s="25"/>
      <c r="S201" s="25"/>
      <c r="T201" s="25"/>
      <c r="U201" s="25"/>
      <c r="V201" s="26">
        <v>4520</v>
      </c>
      <c r="W201" s="25"/>
      <c r="X201" s="25"/>
    </row>
    <row r="202" spans="1:24" s="7" customFormat="1" ht="15.75" customHeight="1" x14ac:dyDescent="0.35">
      <c r="A202" s="11" t="s">
        <v>59</v>
      </c>
      <c r="B202" s="23">
        <v>357966.72</v>
      </c>
      <c r="C202" s="25">
        <f t="shared" si="2"/>
        <v>52469.41</v>
      </c>
      <c r="D202" s="25">
        <v>6552.23</v>
      </c>
      <c r="E202" s="25"/>
      <c r="F202" s="25"/>
      <c r="G202" s="25">
        <f>180.59+1679.61</f>
        <v>1860.1999999999998</v>
      </c>
      <c r="H202" s="25"/>
      <c r="I202" s="25"/>
      <c r="J202" s="25">
        <f>6138.51+565</f>
        <v>6703.51</v>
      </c>
      <c r="K202" s="25">
        <f>293.16+376.48</f>
        <v>669.6400000000001</v>
      </c>
      <c r="L202" s="25">
        <v>2973</v>
      </c>
      <c r="M202" s="25"/>
      <c r="N202" s="25">
        <v>2944</v>
      </c>
      <c r="O202" s="25"/>
      <c r="P202" s="25"/>
      <c r="Q202" s="25"/>
      <c r="R202" s="25"/>
      <c r="S202" s="25">
        <f>4081.83+17145</f>
        <v>21226.83</v>
      </c>
      <c r="T202" s="25"/>
      <c r="U202" s="25">
        <v>9540</v>
      </c>
      <c r="V202" s="26"/>
      <c r="W202" s="25"/>
      <c r="X202" s="25"/>
    </row>
    <row r="203" spans="1:24" s="7" customFormat="1" ht="15.75" customHeight="1" x14ac:dyDescent="0.35">
      <c r="A203" s="11" t="s">
        <v>60</v>
      </c>
      <c r="B203" s="23">
        <v>84717.36</v>
      </c>
      <c r="C203" s="25">
        <f t="shared" si="2"/>
        <v>73534.51999999999</v>
      </c>
      <c r="D203" s="25"/>
      <c r="E203" s="25"/>
      <c r="F203" s="25"/>
      <c r="G203" s="25">
        <v>49986.63</v>
      </c>
      <c r="H203" s="25"/>
      <c r="I203" s="25"/>
      <c r="J203" s="25">
        <v>1277</v>
      </c>
      <c r="K203" s="25"/>
      <c r="L203" s="25"/>
      <c r="M203" s="25"/>
      <c r="N203" s="25"/>
      <c r="O203" s="25"/>
      <c r="P203" s="25"/>
      <c r="Q203" s="25"/>
      <c r="R203" s="25"/>
      <c r="S203" s="25"/>
      <c r="T203" s="25">
        <v>5233.74</v>
      </c>
      <c r="U203" s="25">
        <f>3056.15+13981</f>
        <v>17037.150000000001</v>
      </c>
      <c r="V203" s="26"/>
      <c r="W203" s="25"/>
      <c r="X203" s="25"/>
    </row>
    <row r="204" spans="1:24" s="7" customFormat="1" ht="15.75" customHeight="1" x14ac:dyDescent="0.35">
      <c r="A204" s="11" t="s">
        <v>61</v>
      </c>
      <c r="B204" s="23">
        <v>217966.32</v>
      </c>
      <c r="C204" s="25">
        <f t="shared" si="2"/>
        <v>37817.178</v>
      </c>
      <c r="D204" s="25"/>
      <c r="E204" s="25"/>
      <c r="F204" s="25"/>
      <c r="G204" s="25">
        <v>1679.61</v>
      </c>
      <c r="H204" s="25"/>
      <c r="I204" s="25"/>
      <c r="J204" s="25">
        <f>5886.85+1265.66+6997.54</f>
        <v>14150.05</v>
      </c>
      <c r="K204" s="25">
        <v>1039.6980000000001</v>
      </c>
      <c r="L204" s="25">
        <f>5373.34+1189</f>
        <v>6562.34</v>
      </c>
      <c r="M204" s="25"/>
      <c r="N204" s="25">
        <v>938.89</v>
      </c>
      <c r="O204" s="25"/>
      <c r="P204" s="25"/>
      <c r="Q204" s="25"/>
      <c r="R204" s="25"/>
      <c r="S204" s="25">
        <v>4554.99</v>
      </c>
      <c r="T204" s="25">
        <v>3223.76</v>
      </c>
      <c r="U204" s="25">
        <f>606.84+5061</f>
        <v>5667.84</v>
      </c>
      <c r="V204" s="26"/>
      <c r="W204" s="25"/>
      <c r="X204" s="25"/>
    </row>
    <row r="205" spans="1:24" ht="15.75" customHeight="1" x14ac:dyDescent="0.35">
      <c r="A205" s="11" t="s">
        <v>62</v>
      </c>
      <c r="B205" s="23">
        <v>24353.52</v>
      </c>
      <c r="C205" s="25">
        <f t="shared" si="2"/>
        <v>0</v>
      </c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6"/>
      <c r="W205" s="25"/>
      <c r="X205" s="25"/>
    </row>
    <row r="206" spans="1:24" s="7" customFormat="1" ht="15.75" customHeight="1" x14ac:dyDescent="0.35">
      <c r="A206" s="11" t="s">
        <v>63</v>
      </c>
      <c r="B206" s="23">
        <v>151395.96</v>
      </c>
      <c r="C206" s="25">
        <f t="shared" ref="C206:C269" si="3">D206+E206+G206+H206+I206+J206+K206+L206+N206+O206+P206+Q206+R206+S206+T206+U206+V206+W206+X206+F206</f>
        <v>66804.652999999991</v>
      </c>
      <c r="D206" s="25"/>
      <c r="E206" s="25"/>
      <c r="F206" s="25"/>
      <c r="G206" s="25"/>
      <c r="H206" s="25"/>
      <c r="I206" s="25"/>
      <c r="J206" s="25">
        <f>2351.97+565.255</f>
        <v>2917.2249999999999</v>
      </c>
      <c r="K206" s="25">
        <v>273.74</v>
      </c>
      <c r="L206" s="25">
        <v>17994.7</v>
      </c>
      <c r="M206" s="25">
        <v>5387.02</v>
      </c>
      <c r="N206" s="25"/>
      <c r="O206" s="25"/>
      <c r="P206" s="25"/>
      <c r="Q206" s="25">
        <f>8927.87+2469.858+6367.28</f>
        <v>17765.008000000002</v>
      </c>
      <c r="R206" s="25">
        <v>6212.91</v>
      </c>
      <c r="S206" s="25">
        <f>3628.39+933.38</f>
        <v>4561.7699999999995</v>
      </c>
      <c r="T206" s="25">
        <v>16530.599999999999</v>
      </c>
      <c r="U206" s="25">
        <v>548.70000000000005</v>
      </c>
      <c r="V206" s="26"/>
      <c r="W206" s="25"/>
      <c r="X206" s="25"/>
    </row>
    <row r="207" spans="1:24" ht="15.75" customHeight="1" x14ac:dyDescent="0.35">
      <c r="A207" s="11" t="s">
        <v>64</v>
      </c>
      <c r="B207" s="23">
        <v>224340.12</v>
      </c>
      <c r="C207" s="25">
        <f t="shared" si="3"/>
        <v>8682.3149999999987</v>
      </c>
      <c r="D207" s="25"/>
      <c r="E207" s="25"/>
      <c r="F207" s="25"/>
      <c r="G207" s="25"/>
      <c r="H207" s="25"/>
      <c r="I207" s="25"/>
      <c r="J207" s="25">
        <f>114.9+565.255</f>
        <v>680.15499999999997</v>
      </c>
      <c r="K207" s="25">
        <f>638.09+367.11</f>
        <v>1005.2</v>
      </c>
      <c r="L207" s="25">
        <v>1189</v>
      </c>
      <c r="M207" s="25"/>
      <c r="N207" s="25"/>
      <c r="O207" s="25"/>
      <c r="P207" s="25"/>
      <c r="Q207" s="25"/>
      <c r="R207" s="25"/>
      <c r="S207" s="25"/>
      <c r="T207" s="25"/>
      <c r="U207" s="25">
        <v>1483.26</v>
      </c>
      <c r="V207" s="26">
        <v>4324.7</v>
      </c>
      <c r="W207" s="25"/>
      <c r="X207" s="25"/>
    </row>
    <row r="208" spans="1:24" s="7" customFormat="1" ht="15.75" customHeight="1" x14ac:dyDescent="0.35">
      <c r="A208" s="11" t="s">
        <v>65</v>
      </c>
      <c r="B208" s="23">
        <v>471188.76</v>
      </c>
      <c r="C208" s="25">
        <f t="shared" si="3"/>
        <v>306063.37</v>
      </c>
      <c r="D208" s="25"/>
      <c r="E208" s="25"/>
      <c r="F208" s="25"/>
      <c r="G208" s="25"/>
      <c r="H208" s="25">
        <v>184842</v>
      </c>
      <c r="I208" s="25"/>
      <c r="J208" s="25">
        <f>376.73+9159.46+25345.24</f>
        <v>34881.43</v>
      </c>
      <c r="K208" s="25">
        <f>376.48+472.9+1787.56+367.11+1867.94</f>
        <v>4871.99</v>
      </c>
      <c r="L208" s="25">
        <f>3039.44+13669.1</f>
        <v>16708.54</v>
      </c>
      <c r="M208" s="25"/>
      <c r="N208" s="25"/>
      <c r="O208" s="25"/>
      <c r="P208" s="25"/>
      <c r="Q208" s="25">
        <v>24320</v>
      </c>
      <c r="R208" s="25"/>
      <c r="S208" s="25">
        <f>2905.71+10879</f>
        <v>13784.71</v>
      </c>
      <c r="T208" s="25">
        <v>3794.3</v>
      </c>
      <c r="U208" s="25">
        <v>13204.4</v>
      </c>
      <c r="V208" s="26">
        <v>9656</v>
      </c>
      <c r="W208" s="25"/>
      <c r="X208" s="25"/>
    </row>
    <row r="209" spans="1:24" s="7" customFormat="1" ht="15.75" customHeight="1" x14ac:dyDescent="0.35">
      <c r="A209" s="11" t="s">
        <v>66</v>
      </c>
      <c r="B209" s="23">
        <v>369161.4</v>
      </c>
      <c r="C209" s="25">
        <f t="shared" si="3"/>
        <v>187995.24999999997</v>
      </c>
      <c r="D209" s="25">
        <v>30521</v>
      </c>
      <c r="E209" s="25"/>
      <c r="F209" s="25"/>
      <c r="G209" s="25">
        <f>1440.49+48997</f>
        <v>50437.49</v>
      </c>
      <c r="H209" s="25"/>
      <c r="I209" s="25"/>
      <c r="J209" s="25">
        <f>1839.37+1925.89</f>
        <v>3765.26</v>
      </c>
      <c r="K209" s="25">
        <v>376.48</v>
      </c>
      <c r="L209" s="25">
        <v>66023.399999999994</v>
      </c>
      <c r="M209" s="25"/>
      <c r="N209" s="25"/>
      <c r="O209" s="25"/>
      <c r="P209" s="25"/>
      <c r="Q209" s="25">
        <v>17687</v>
      </c>
      <c r="R209" s="25"/>
      <c r="S209" s="25">
        <v>3983</v>
      </c>
      <c r="T209" s="25">
        <v>7886.71</v>
      </c>
      <c r="U209" s="25">
        <v>7314.91</v>
      </c>
      <c r="V209" s="26"/>
      <c r="W209" s="25"/>
      <c r="X209" s="25"/>
    </row>
    <row r="210" spans="1:24" s="7" customFormat="1" ht="15.75" customHeight="1" x14ac:dyDescent="0.35">
      <c r="A210" s="11" t="s">
        <v>67</v>
      </c>
      <c r="B210" s="23">
        <v>322899.84000000003</v>
      </c>
      <c r="C210" s="25">
        <f t="shared" si="3"/>
        <v>70190.777000000002</v>
      </c>
      <c r="D210" s="25">
        <v>2228.56</v>
      </c>
      <c r="E210" s="25"/>
      <c r="F210" s="25"/>
      <c r="G210" s="25"/>
      <c r="H210" s="25"/>
      <c r="I210" s="25"/>
      <c r="J210" s="25">
        <v>4488.95</v>
      </c>
      <c r="K210" s="25"/>
      <c r="L210" s="25">
        <v>20442.400000000001</v>
      </c>
      <c r="M210" s="25"/>
      <c r="N210" s="25"/>
      <c r="O210" s="25"/>
      <c r="P210" s="25"/>
      <c r="Q210" s="25">
        <f>928.117+4796.92</f>
        <v>5725.0370000000003</v>
      </c>
      <c r="R210" s="25"/>
      <c r="S210" s="25">
        <f>1729.59+691.48</f>
        <v>2421.0699999999997</v>
      </c>
      <c r="T210" s="25">
        <v>19333.8</v>
      </c>
      <c r="U210" s="25">
        <f>2870.76+5777</f>
        <v>8647.76</v>
      </c>
      <c r="V210" s="26">
        <f>1931.2+4972</f>
        <v>6903.2</v>
      </c>
      <c r="W210" s="25"/>
      <c r="X210" s="25"/>
    </row>
    <row r="211" spans="1:24" ht="15.75" customHeight="1" x14ac:dyDescent="0.35">
      <c r="A211" s="11" t="s">
        <v>68</v>
      </c>
      <c r="B211" s="23">
        <v>74359.44</v>
      </c>
      <c r="C211" s="25">
        <f t="shared" si="3"/>
        <v>0</v>
      </c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6"/>
      <c r="W211" s="25"/>
      <c r="X211" s="25"/>
    </row>
    <row r="212" spans="1:24" s="7" customFormat="1" ht="15.75" customHeight="1" x14ac:dyDescent="0.35">
      <c r="A212" s="11" t="s">
        <v>69</v>
      </c>
      <c r="B212" s="23">
        <v>126380.4</v>
      </c>
      <c r="C212" s="25">
        <f t="shared" si="3"/>
        <v>33460.739999999991</v>
      </c>
      <c r="D212" s="25"/>
      <c r="E212" s="25"/>
      <c r="F212" s="25"/>
      <c r="G212" s="25"/>
      <c r="H212" s="25"/>
      <c r="I212" s="25"/>
      <c r="J212" s="25">
        <f>17304.1+4518.89</f>
        <v>21822.989999999998</v>
      </c>
      <c r="K212" s="25">
        <f>5844.12+376.48</f>
        <v>6220.6</v>
      </c>
      <c r="L212" s="25"/>
      <c r="M212" s="25"/>
      <c r="N212" s="25">
        <v>1131.67</v>
      </c>
      <c r="O212" s="25"/>
      <c r="P212" s="25"/>
      <c r="Q212" s="25"/>
      <c r="R212" s="25"/>
      <c r="S212" s="25"/>
      <c r="T212" s="25"/>
      <c r="U212" s="25">
        <v>509.03</v>
      </c>
      <c r="V212" s="26">
        <v>3776.45</v>
      </c>
      <c r="W212" s="25"/>
      <c r="X212" s="25"/>
    </row>
    <row r="213" spans="1:24" s="7" customFormat="1" ht="15.75" customHeight="1" x14ac:dyDescent="0.35">
      <c r="A213" s="11" t="s">
        <v>70</v>
      </c>
      <c r="B213" s="23">
        <v>98946.6</v>
      </c>
      <c r="C213" s="25">
        <f t="shared" si="3"/>
        <v>6383.1799999999994</v>
      </c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>
        <v>4796.92</v>
      </c>
      <c r="R213" s="25"/>
      <c r="S213" s="25">
        <v>691.48</v>
      </c>
      <c r="T213" s="25"/>
      <c r="U213" s="25">
        <v>894.78</v>
      </c>
      <c r="V213" s="26"/>
      <c r="W213" s="25"/>
      <c r="X213" s="25"/>
    </row>
    <row r="214" spans="1:24" s="7" customFormat="1" ht="15.75" customHeight="1" x14ac:dyDescent="0.35">
      <c r="A214" s="11" t="s">
        <v>71</v>
      </c>
      <c r="B214" s="23">
        <v>76962.720000000001</v>
      </c>
      <c r="C214" s="25">
        <f t="shared" si="3"/>
        <v>14991.82</v>
      </c>
      <c r="D214" s="25"/>
      <c r="E214" s="25"/>
      <c r="F214" s="25"/>
      <c r="G214" s="25"/>
      <c r="H214" s="25"/>
      <c r="I214" s="25"/>
      <c r="J214" s="25"/>
      <c r="K214" s="25"/>
      <c r="L214" s="25">
        <f>5834.77+3181</f>
        <v>9015.77</v>
      </c>
      <c r="M214" s="25"/>
      <c r="N214" s="25"/>
      <c r="O214" s="25"/>
      <c r="P214" s="25"/>
      <c r="Q214" s="25"/>
      <c r="R214" s="25"/>
      <c r="S214" s="25"/>
      <c r="T214" s="25">
        <v>5976.05</v>
      </c>
      <c r="U214" s="25"/>
      <c r="V214" s="26"/>
      <c r="W214" s="25"/>
      <c r="X214" s="25"/>
    </row>
    <row r="215" spans="1:24" ht="15.75" customHeight="1" x14ac:dyDescent="0.35">
      <c r="A215" s="11" t="s">
        <v>72</v>
      </c>
      <c r="B215" s="23">
        <v>99974.52</v>
      </c>
      <c r="C215" s="25">
        <f t="shared" si="3"/>
        <v>57636.17</v>
      </c>
      <c r="D215" s="25"/>
      <c r="E215" s="25"/>
      <c r="F215" s="25"/>
      <c r="G215" s="25">
        <v>48997</v>
      </c>
      <c r="H215" s="25"/>
      <c r="I215" s="25"/>
      <c r="J215" s="25"/>
      <c r="K215" s="25">
        <f>57.48+319</f>
        <v>376.48</v>
      </c>
      <c r="L215" s="25"/>
      <c r="M215" s="25"/>
      <c r="N215" s="25"/>
      <c r="O215" s="25"/>
      <c r="P215" s="25"/>
      <c r="Q215" s="25">
        <v>6879.02</v>
      </c>
      <c r="R215" s="25"/>
      <c r="S215" s="25">
        <v>1383.67</v>
      </c>
      <c r="T215" s="25"/>
      <c r="U215" s="25"/>
      <c r="V215" s="26"/>
      <c r="W215" s="25"/>
      <c r="X215" s="25"/>
    </row>
    <row r="216" spans="1:24" s="7" customFormat="1" ht="15.75" customHeight="1" x14ac:dyDescent="0.35">
      <c r="A216" s="11" t="s">
        <v>73</v>
      </c>
      <c r="B216" s="23">
        <v>193824.6</v>
      </c>
      <c r="C216" s="25">
        <f t="shared" si="3"/>
        <v>169109.05600000001</v>
      </c>
      <c r="D216" s="25"/>
      <c r="E216" s="25"/>
      <c r="F216" s="25"/>
      <c r="G216" s="25"/>
      <c r="H216" s="25"/>
      <c r="I216" s="25"/>
      <c r="J216" s="25"/>
      <c r="K216" s="25">
        <v>912.45</v>
      </c>
      <c r="L216" s="25">
        <v>5213.57</v>
      </c>
      <c r="M216" s="25"/>
      <c r="N216" s="25">
        <v>783.06</v>
      </c>
      <c r="O216" s="25"/>
      <c r="P216" s="25"/>
      <c r="Q216" s="25">
        <f>3491.29+5038.91+5383</f>
        <v>13913.2</v>
      </c>
      <c r="R216" s="25"/>
      <c r="S216" s="25">
        <v>170.15600000000001</v>
      </c>
      <c r="T216" s="25"/>
      <c r="U216" s="25">
        <f>899.42+2000.48</f>
        <v>2899.9</v>
      </c>
      <c r="V216" s="26"/>
      <c r="W216" s="25"/>
      <c r="X216" s="25">
        <v>145216.72</v>
      </c>
    </row>
    <row r="217" spans="1:24" s="46" customFormat="1" ht="15.75" customHeight="1" x14ac:dyDescent="0.35">
      <c r="A217" s="11" t="s">
        <v>74</v>
      </c>
      <c r="B217" s="23">
        <v>294621.48</v>
      </c>
      <c r="C217" s="25">
        <f t="shared" si="3"/>
        <v>45780.74</v>
      </c>
      <c r="D217" s="25">
        <v>15815.86</v>
      </c>
      <c r="E217" s="25"/>
      <c r="F217" s="25"/>
      <c r="G217" s="25"/>
      <c r="H217" s="25"/>
      <c r="I217" s="25"/>
      <c r="J217" s="25">
        <f>3288.66+9443.8</f>
        <v>12732.46</v>
      </c>
      <c r="K217" s="25"/>
      <c r="L217" s="25">
        <f>557.82+15049.6</f>
        <v>15607.42</v>
      </c>
      <c r="M217" s="25"/>
      <c r="N217" s="25"/>
      <c r="O217" s="25"/>
      <c r="P217" s="25"/>
      <c r="Q217" s="25">
        <v>1625</v>
      </c>
      <c r="R217" s="25"/>
      <c r="S217" s="25"/>
      <c r="T217" s="25"/>
      <c r="U217" s="25"/>
      <c r="V217" s="26"/>
      <c r="W217" s="25"/>
      <c r="X217" s="25"/>
    </row>
    <row r="218" spans="1:24" ht="15.75" customHeight="1" x14ac:dyDescent="0.35">
      <c r="A218" s="11" t="s">
        <v>75</v>
      </c>
      <c r="B218" s="23">
        <v>94798.8</v>
      </c>
      <c r="C218" s="25">
        <f t="shared" si="3"/>
        <v>20884.330000000002</v>
      </c>
      <c r="D218" s="25"/>
      <c r="E218" s="25"/>
      <c r="F218" s="25"/>
      <c r="G218" s="25"/>
      <c r="H218" s="25"/>
      <c r="I218" s="25"/>
      <c r="J218" s="25">
        <v>9037.07</v>
      </c>
      <c r="K218" s="25"/>
      <c r="L218" s="25">
        <v>6668.26</v>
      </c>
      <c r="M218" s="25"/>
      <c r="N218" s="25"/>
      <c r="O218" s="25"/>
      <c r="P218" s="25"/>
      <c r="Q218" s="25">
        <v>5179</v>
      </c>
      <c r="R218" s="25"/>
      <c r="S218" s="25"/>
      <c r="T218" s="25"/>
      <c r="U218" s="25"/>
      <c r="V218" s="26"/>
      <c r="W218" s="25"/>
      <c r="X218" s="25"/>
    </row>
    <row r="219" spans="1:24" ht="15.75" customHeight="1" x14ac:dyDescent="0.35">
      <c r="A219" s="11" t="s">
        <v>76</v>
      </c>
      <c r="B219" s="23">
        <v>279716.88</v>
      </c>
      <c r="C219" s="25">
        <f t="shared" si="3"/>
        <v>186769.06699999998</v>
      </c>
      <c r="D219" s="25"/>
      <c r="E219" s="25"/>
      <c r="F219" s="25"/>
      <c r="G219" s="25"/>
      <c r="H219" s="25"/>
      <c r="I219" s="25"/>
      <c r="J219" s="25"/>
      <c r="K219" s="25">
        <v>11307</v>
      </c>
      <c r="L219" s="25">
        <v>6567.14</v>
      </c>
      <c r="M219" s="25"/>
      <c r="N219" s="25"/>
      <c r="O219" s="25">
        <v>4309.6670000000004</v>
      </c>
      <c r="P219" s="25"/>
      <c r="Q219" s="25">
        <f>2273.6+7439</f>
        <v>9712.6</v>
      </c>
      <c r="R219" s="25"/>
      <c r="S219" s="25">
        <v>691.48</v>
      </c>
      <c r="T219" s="25">
        <v>8265.9</v>
      </c>
      <c r="U219" s="25"/>
      <c r="V219" s="26"/>
      <c r="W219" s="25"/>
      <c r="X219" s="25">
        <v>145915.28</v>
      </c>
    </row>
    <row r="220" spans="1:24" s="7" customFormat="1" ht="15.75" customHeight="1" x14ac:dyDescent="0.35">
      <c r="A220" s="11" t="s">
        <v>77</v>
      </c>
      <c r="B220" s="23">
        <v>105705.36</v>
      </c>
      <c r="C220" s="25">
        <f t="shared" si="3"/>
        <v>221472.52</v>
      </c>
      <c r="D220" s="25"/>
      <c r="E220" s="25"/>
      <c r="F220" s="25"/>
      <c r="G220" s="25">
        <f>45228+894</f>
        <v>46122</v>
      </c>
      <c r="H220" s="25"/>
      <c r="I220" s="25"/>
      <c r="J220" s="25"/>
      <c r="K220" s="25"/>
      <c r="L220" s="25"/>
      <c r="M220" s="25"/>
      <c r="N220" s="25">
        <v>13178.25</v>
      </c>
      <c r="O220" s="25"/>
      <c r="P220" s="25"/>
      <c r="Q220" s="25"/>
      <c r="R220" s="25"/>
      <c r="S220" s="25"/>
      <c r="T220" s="25">
        <v>1499.53</v>
      </c>
      <c r="U220" s="25"/>
      <c r="V220" s="26"/>
      <c r="W220" s="25"/>
      <c r="X220" s="25">
        <v>160672.74</v>
      </c>
    </row>
    <row r="221" spans="1:24" ht="15.75" customHeight="1" x14ac:dyDescent="0.35">
      <c r="A221" s="11" t="s">
        <v>78</v>
      </c>
      <c r="B221" s="23">
        <v>47409.24</v>
      </c>
      <c r="C221" s="25">
        <f t="shared" si="3"/>
        <v>3816</v>
      </c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>
        <v>193</v>
      </c>
      <c r="T221" s="25">
        <v>3623</v>
      </c>
      <c r="U221" s="25"/>
      <c r="V221" s="26"/>
      <c r="W221" s="25"/>
      <c r="X221" s="25"/>
    </row>
    <row r="222" spans="1:24" ht="15.75" customHeight="1" x14ac:dyDescent="0.35">
      <c r="A222" s="11" t="s">
        <v>79</v>
      </c>
      <c r="B222" s="23">
        <v>132392.64000000001</v>
      </c>
      <c r="C222" s="25">
        <f t="shared" si="3"/>
        <v>24156.554</v>
      </c>
      <c r="D222" s="25"/>
      <c r="E222" s="25"/>
      <c r="F222" s="25"/>
      <c r="G222" s="25"/>
      <c r="H222" s="25"/>
      <c r="I222" s="25"/>
      <c r="J222" s="25">
        <v>1130.51</v>
      </c>
      <c r="K222" s="25"/>
      <c r="L222" s="25"/>
      <c r="M222" s="25"/>
      <c r="N222" s="25"/>
      <c r="O222" s="25"/>
      <c r="P222" s="25"/>
      <c r="Q222" s="25">
        <v>2413.4499999999998</v>
      </c>
      <c r="R222" s="25"/>
      <c r="S222" s="25">
        <v>691.83399999999995</v>
      </c>
      <c r="T222" s="25">
        <v>8265.9</v>
      </c>
      <c r="U222" s="25">
        <v>9766.86</v>
      </c>
      <c r="V222" s="26">
        <v>1888</v>
      </c>
      <c r="W222" s="25"/>
      <c r="X222" s="25"/>
    </row>
    <row r="223" spans="1:24" ht="15.75" customHeight="1" x14ac:dyDescent="0.35">
      <c r="A223" s="10" t="s">
        <v>80</v>
      </c>
      <c r="B223" s="23">
        <v>500343.87</v>
      </c>
      <c r="C223" s="25">
        <f t="shared" si="3"/>
        <v>124999.95859999998</v>
      </c>
      <c r="D223" s="25"/>
      <c r="E223" s="25"/>
      <c r="F223" s="25"/>
      <c r="G223" s="25">
        <f>77893+1644.33+328.84</f>
        <v>79866.17</v>
      </c>
      <c r="H223" s="25"/>
      <c r="I223" s="25"/>
      <c r="J223" s="25">
        <f>3077.58+9914.68</f>
        <v>12992.26</v>
      </c>
      <c r="K223" s="25">
        <f>376.48+367.11</f>
        <v>743.59</v>
      </c>
      <c r="L223" s="25"/>
      <c r="M223" s="25"/>
      <c r="N223" s="25">
        <v>1251.7085999999999</v>
      </c>
      <c r="O223" s="25"/>
      <c r="P223" s="25"/>
      <c r="Q223" s="25">
        <f>4090.91+20978.04</f>
        <v>25068.95</v>
      </c>
      <c r="R223" s="25"/>
      <c r="S223" s="25"/>
      <c r="T223" s="25">
        <f>2384.64+512</f>
        <v>2896.64</v>
      </c>
      <c r="U223" s="25">
        <v>2180.64</v>
      </c>
      <c r="V223" s="26"/>
      <c r="W223" s="25"/>
      <c r="X223" s="25"/>
    </row>
    <row r="224" spans="1:24" s="7" customFormat="1" ht="15.75" customHeight="1" x14ac:dyDescent="0.35">
      <c r="A224" s="10" t="s">
        <v>81</v>
      </c>
      <c r="B224" s="23">
        <v>92716.83</v>
      </c>
      <c r="C224" s="25">
        <f t="shared" si="3"/>
        <v>105576.16280000001</v>
      </c>
      <c r="D224" s="25"/>
      <c r="E224" s="25"/>
      <c r="F224" s="25"/>
      <c r="G224" s="25">
        <f>94225+3770.4</f>
        <v>97995.4</v>
      </c>
      <c r="H224" s="25"/>
      <c r="I224" s="25"/>
      <c r="J224" s="25">
        <f>4700+1316.13</f>
        <v>6016.13</v>
      </c>
      <c r="K224" s="25"/>
      <c r="L224" s="25"/>
      <c r="M224" s="25"/>
      <c r="N224" s="25">
        <v>1564.6328000000001</v>
      </c>
      <c r="O224" s="25"/>
      <c r="P224" s="25"/>
      <c r="Q224" s="25"/>
      <c r="R224" s="25"/>
      <c r="S224" s="25"/>
      <c r="T224" s="25"/>
      <c r="U224" s="25"/>
      <c r="V224" s="26"/>
      <c r="W224" s="25"/>
      <c r="X224" s="25"/>
    </row>
    <row r="225" spans="1:24" s="7" customFormat="1" ht="15.75" customHeight="1" x14ac:dyDescent="0.35">
      <c r="A225" s="10" t="s">
        <v>82</v>
      </c>
      <c r="B225" s="23">
        <v>267724.3</v>
      </c>
      <c r="C225" s="25">
        <f t="shared" si="3"/>
        <v>133196.10399999999</v>
      </c>
      <c r="D225" s="25"/>
      <c r="E225" s="25"/>
      <c r="F225" s="25"/>
      <c r="G225" s="25">
        <v>65331</v>
      </c>
      <c r="H225" s="25"/>
      <c r="I225" s="25"/>
      <c r="J225" s="25">
        <f>787.414+1944.01</f>
        <v>2731.424</v>
      </c>
      <c r="K225" s="25"/>
      <c r="L225" s="25"/>
      <c r="M225" s="25"/>
      <c r="N225" s="25"/>
      <c r="O225" s="25"/>
      <c r="P225" s="25"/>
      <c r="Q225" s="25">
        <f>9140.52+10546.8</f>
        <v>19687.32</v>
      </c>
      <c r="R225" s="25"/>
      <c r="S225" s="25">
        <f>3099.8+6501.2</f>
        <v>9601</v>
      </c>
      <c r="T225" s="25">
        <v>8325.93</v>
      </c>
      <c r="U225" s="25">
        <v>7678.53</v>
      </c>
      <c r="V225" s="26">
        <f>17730.92+2109.98</f>
        <v>19840.899999999998</v>
      </c>
      <c r="W225" s="25"/>
      <c r="X225" s="25"/>
    </row>
    <row r="226" spans="1:24" s="7" customFormat="1" ht="15.75" customHeight="1" x14ac:dyDescent="0.35">
      <c r="A226" s="11" t="s">
        <v>83</v>
      </c>
      <c r="B226" s="23">
        <v>29448.720000000001</v>
      </c>
      <c r="C226" s="25">
        <f t="shared" si="3"/>
        <v>40967.75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>
        <v>421</v>
      </c>
      <c r="U226" s="25"/>
      <c r="V226" s="26">
        <f>432.77+1081</f>
        <v>1513.77</v>
      </c>
      <c r="W226" s="25"/>
      <c r="X226" s="25">
        <v>39032.980000000003</v>
      </c>
    </row>
    <row r="227" spans="1:24" ht="15.75" customHeight="1" x14ac:dyDescent="0.35">
      <c r="A227" s="10" t="s">
        <v>84</v>
      </c>
      <c r="B227" s="23">
        <v>97859.57</v>
      </c>
      <c r="C227" s="25">
        <f t="shared" si="3"/>
        <v>164547.64000000001</v>
      </c>
      <c r="D227" s="25"/>
      <c r="E227" s="25"/>
      <c r="F227" s="25"/>
      <c r="G227" s="25">
        <f>20140.6+264</f>
        <v>20404.599999999999</v>
      </c>
      <c r="H227" s="25"/>
      <c r="I227" s="25"/>
      <c r="J227" s="25">
        <f>1574.84+1536</f>
        <v>3110.84</v>
      </c>
      <c r="K227" s="25"/>
      <c r="L227" s="25"/>
      <c r="M227" s="25"/>
      <c r="N227" s="25"/>
      <c r="O227" s="25"/>
      <c r="P227" s="25"/>
      <c r="Q227" s="25">
        <v>4635</v>
      </c>
      <c r="R227" s="25"/>
      <c r="S227" s="25"/>
      <c r="T227" s="25"/>
      <c r="U227" s="25"/>
      <c r="V227" s="26"/>
      <c r="W227" s="25"/>
      <c r="X227" s="25">
        <v>136397.20000000001</v>
      </c>
    </row>
    <row r="228" spans="1:24" s="7" customFormat="1" ht="15.75" customHeight="1" x14ac:dyDescent="0.35">
      <c r="A228" s="11" t="s">
        <v>85</v>
      </c>
      <c r="B228" s="23">
        <v>250082.4</v>
      </c>
      <c r="C228" s="25">
        <f t="shared" si="3"/>
        <v>169254.755</v>
      </c>
      <c r="D228" s="25"/>
      <c r="E228" s="25"/>
      <c r="F228" s="25"/>
      <c r="G228" s="25">
        <f>3202+8582.49</f>
        <v>11784.49</v>
      </c>
      <c r="H228" s="25"/>
      <c r="I228" s="25"/>
      <c r="J228" s="25">
        <v>7120</v>
      </c>
      <c r="K228" s="25">
        <v>5698.57</v>
      </c>
      <c r="L228" s="25">
        <v>2121</v>
      </c>
      <c r="M228" s="25">
        <v>3201.15</v>
      </c>
      <c r="N228" s="25">
        <v>11592.355</v>
      </c>
      <c r="O228" s="25">
        <v>3085</v>
      </c>
      <c r="P228" s="25"/>
      <c r="Q228" s="25"/>
      <c r="R228" s="25"/>
      <c r="S228" s="25"/>
      <c r="T228" s="25">
        <f>1684.13+194.7</f>
        <v>1878.8300000000002</v>
      </c>
      <c r="U228" s="25">
        <v>11029.4</v>
      </c>
      <c r="V228" s="26">
        <f>432.77+1080.88</f>
        <v>1513.65</v>
      </c>
      <c r="W228" s="25"/>
      <c r="X228" s="25">
        <v>113431.46</v>
      </c>
    </row>
    <row r="229" spans="1:24" s="7" customFormat="1" ht="15.75" customHeight="1" x14ac:dyDescent="0.35">
      <c r="A229" s="10" t="s">
        <v>86</v>
      </c>
      <c r="B229" s="23">
        <v>70959.22</v>
      </c>
      <c r="C229" s="25">
        <f t="shared" si="3"/>
        <v>779787.55</v>
      </c>
      <c r="D229" s="25"/>
      <c r="E229" s="25"/>
      <c r="F229" s="25">
        <v>775150</v>
      </c>
      <c r="G229" s="25"/>
      <c r="H229" s="25"/>
      <c r="I229" s="25"/>
      <c r="J229" s="25"/>
      <c r="K229" s="25">
        <v>302</v>
      </c>
      <c r="L229" s="25"/>
      <c r="M229" s="25"/>
      <c r="N229" s="25"/>
      <c r="O229" s="25"/>
      <c r="P229" s="25"/>
      <c r="Q229" s="25">
        <v>3941.39</v>
      </c>
      <c r="R229" s="25"/>
      <c r="S229" s="25">
        <v>394.16</v>
      </c>
      <c r="T229" s="25"/>
      <c r="U229" s="25"/>
      <c r="V229" s="26"/>
      <c r="W229" s="25"/>
      <c r="X229" s="25"/>
    </row>
    <row r="230" spans="1:24" ht="15.75" customHeight="1" x14ac:dyDescent="0.35">
      <c r="A230" s="11" t="s">
        <v>87</v>
      </c>
      <c r="B230" s="23">
        <v>150790.44</v>
      </c>
      <c r="C230" s="25">
        <f t="shared" si="3"/>
        <v>62366.729999999996</v>
      </c>
      <c r="D230" s="25"/>
      <c r="E230" s="25"/>
      <c r="F230" s="25"/>
      <c r="G230" s="25"/>
      <c r="H230" s="25"/>
      <c r="I230" s="25"/>
      <c r="J230" s="25">
        <v>273</v>
      </c>
      <c r="K230" s="25"/>
      <c r="L230" s="25"/>
      <c r="M230" s="25"/>
      <c r="N230" s="25"/>
      <c r="O230" s="25"/>
      <c r="P230" s="25"/>
      <c r="Q230" s="25"/>
      <c r="R230" s="25"/>
      <c r="S230" s="25">
        <v>1383.67</v>
      </c>
      <c r="T230" s="25">
        <v>2611.66</v>
      </c>
      <c r="U230" s="25"/>
      <c r="V230" s="26">
        <f>432.77+1080.88</f>
        <v>1513.65</v>
      </c>
      <c r="W230" s="25"/>
      <c r="X230" s="25">
        <v>56584.75</v>
      </c>
    </row>
    <row r="231" spans="1:24" ht="15.75" customHeight="1" x14ac:dyDescent="0.35">
      <c r="A231" s="10" t="s">
        <v>88</v>
      </c>
      <c r="B231" s="23">
        <v>146008.97</v>
      </c>
      <c r="C231" s="25">
        <f t="shared" si="3"/>
        <v>712067.7</v>
      </c>
      <c r="D231" s="25"/>
      <c r="E231" s="25">
        <v>248389</v>
      </c>
      <c r="F231" s="25"/>
      <c r="G231" s="25">
        <v>257549.7</v>
      </c>
      <c r="H231" s="25">
        <v>205224</v>
      </c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>
        <v>905</v>
      </c>
      <c r="U231" s="25"/>
      <c r="V231" s="26"/>
      <c r="W231" s="25"/>
      <c r="X231" s="25"/>
    </row>
    <row r="232" spans="1:24" s="46" customFormat="1" ht="15.75" customHeight="1" x14ac:dyDescent="0.35">
      <c r="A232" s="10" t="s">
        <v>89</v>
      </c>
      <c r="B232" s="23">
        <v>115274.03</v>
      </c>
      <c r="C232" s="25">
        <f t="shared" si="3"/>
        <v>216038.55899999998</v>
      </c>
      <c r="D232" s="25">
        <v>2380</v>
      </c>
      <c r="E232" s="25"/>
      <c r="F232" s="25"/>
      <c r="G232" s="25">
        <f>175887.6+3489.86</f>
        <v>179377.46</v>
      </c>
      <c r="H232" s="25"/>
      <c r="I232" s="25"/>
      <c r="J232" s="25"/>
      <c r="K232" s="25"/>
      <c r="L232" s="25">
        <v>17110</v>
      </c>
      <c r="M232" s="25"/>
      <c r="N232" s="25"/>
      <c r="O232" s="25"/>
      <c r="P232" s="25"/>
      <c r="Q232" s="25"/>
      <c r="R232" s="25"/>
      <c r="S232" s="25"/>
      <c r="T232" s="25">
        <f>2001.88+579.899</f>
        <v>2581.779</v>
      </c>
      <c r="U232" s="25">
        <f>5777.8+6866</f>
        <v>12643.8</v>
      </c>
      <c r="V232" s="26">
        <f>865.52+1080</f>
        <v>1945.52</v>
      </c>
      <c r="W232" s="25"/>
      <c r="X232" s="25"/>
    </row>
    <row r="233" spans="1:24" ht="15.75" customHeight="1" x14ac:dyDescent="0.35">
      <c r="A233" s="10" t="s">
        <v>90</v>
      </c>
      <c r="B233" s="23">
        <v>104649.84</v>
      </c>
      <c r="C233" s="25">
        <f t="shared" si="3"/>
        <v>0</v>
      </c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6"/>
      <c r="W233" s="25"/>
      <c r="X233" s="25"/>
    </row>
    <row r="234" spans="1:24" s="7" customFormat="1" ht="15.75" customHeight="1" x14ac:dyDescent="0.35">
      <c r="A234" s="10" t="s">
        <v>91</v>
      </c>
      <c r="B234" s="23">
        <v>164472.93</v>
      </c>
      <c r="C234" s="25">
        <f t="shared" si="3"/>
        <v>5197.0369999999994</v>
      </c>
      <c r="D234" s="25"/>
      <c r="E234" s="25"/>
      <c r="F234" s="25"/>
      <c r="G234" s="25">
        <v>627.67700000000002</v>
      </c>
      <c r="H234" s="25"/>
      <c r="I234" s="25"/>
      <c r="J234" s="25">
        <v>565.22</v>
      </c>
      <c r="K234" s="25"/>
      <c r="L234" s="25"/>
      <c r="M234" s="25"/>
      <c r="N234" s="25"/>
      <c r="O234" s="25"/>
      <c r="P234" s="25"/>
      <c r="Q234" s="25"/>
      <c r="R234" s="25"/>
      <c r="S234" s="25"/>
      <c r="T234" s="25">
        <f>1043.83+324.5</f>
        <v>1368.33</v>
      </c>
      <c r="U234" s="25">
        <v>1527.07</v>
      </c>
      <c r="V234" s="26">
        <v>1108.74</v>
      </c>
      <c r="W234" s="25"/>
      <c r="X234" s="25"/>
    </row>
    <row r="235" spans="1:24" s="7" customFormat="1" ht="15.75" customHeight="1" x14ac:dyDescent="0.35">
      <c r="A235" s="10" t="s">
        <v>92</v>
      </c>
      <c r="B235" s="23">
        <v>133747.92000000001</v>
      </c>
      <c r="C235" s="25">
        <f t="shared" si="3"/>
        <v>8236.4500000000007</v>
      </c>
      <c r="D235" s="25"/>
      <c r="E235" s="25"/>
      <c r="F235" s="25"/>
      <c r="G235" s="25">
        <v>941.51</v>
      </c>
      <c r="H235" s="25"/>
      <c r="I235" s="25"/>
      <c r="J235" s="25"/>
      <c r="K235" s="25"/>
      <c r="L235" s="25"/>
      <c r="M235" s="25"/>
      <c r="N235" s="25"/>
      <c r="O235" s="25"/>
      <c r="P235" s="25">
        <v>4611.6450000000004</v>
      </c>
      <c r="Q235" s="25">
        <v>985</v>
      </c>
      <c r="R235" s="25"/>
      <c r="S235" s="25">
        <v>1027.3</v>
      </c>
      <c r="T235" s="25">
        <v>670.995</v>
      </c>
      <c r="U235" s="25"/>
      <c r="V235" s="26"/>
      <c r="W235" s="25"/>
      <c r="X235" s="25"/>
    </row>
    <row r="236" spans="1:24" s="7" customFormat="1" ht="15.75" customHeight="1" x14ac:dyDescent="0.35">
      <c r="A236" s="10" t="s">
        <v>93</v>
      </c>
      <c r="B236" s="23">
        <v>168433.17</v>
      </c>
      <c r="C236" s="25">
        <f t="shared" si="3"/>
        <v>275492.49800000002</v>
      </c>
      <c r="D236" s="25"/>
      <c r="E236" s="25"/>
      <c r="F236" s="25"/>
      <c r="G236" s="25">
        <f>627.677+48214.2</f>
        <v>48841.877</v>
      </c>
      <c r="H236" s="25"/>
      <c r="I236" s="25"/>
      <c r="J236" s="25">
        <f>188+765.631</f>
        <v>953.63099999999997</v>
      </c>
      <c r="K236" s="25"/>
      <c r="L236" s="25">
        <v>13725</v>
      </c>
      <c r="M236" s="25"/>
      <c r="N236" s="25">
        <v>783.06</v>
      </c>
      <c r="O236" s="25">
        <v>5780.91</v>
      </c>
      <c r="P236" s="25"/>
      <c r="Q236" s="25">
        <f>2486.4+11579.18+6046.78</f>
        <v>20112.36</v>
      </c>
      <c r="R236" s="25"/>
      <c r="S236" s="25">
        <f>405.96+2975.4+861.99+467.28</f>
        <v>4710.63</v>
      </c>
      <c r="T236" s="25">
        <v>40414.1</v>
      </c>
      <c r="U236" s="25">
        <v>21297.7</v>
      </c>
      <c r="V236" s="26">
        <v>28145.53</v>
      </c>
      <c r="W236" s="25"/>
      <c r="X236" s="25">
        <v>90727.7</v>
      </c>
    </row>
    <row r="237" spans="1:24" ht="15.75" customHeight="1" x14ac:dyDescent="0.35">
      <c r="A237" s="10" t="s">
        <v>94</v>
      </c>
      <c r="B237" s="23">
        <v>43110.59</v>
      </c>
      <c r="C237" s="25">
        <f t="shared" si="3"/>
        <v>0</v>
      </c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6"/>
      <c r="W237" s="25"/>
      <c r="X237" s="25"/>
    </row>
    <row r="238" spans="1:24" s="7" customFormat="1" ht="15.75" customHeight="1" x14ac:dyDescent="0.35">
      <c r="A238" s="10" t="s">
        <v>95</v>
      </c>
      <c r="B238" s="23">
        <v>279073.87</v>
      </c>
      <c r="C238" s="25">
        <f t="shared" si="3"/>
        <v>302021.16200000001</v>
      </c>
      <c r="D238" s="25"/>
      <c r="E238" s="25"/>
      <c r="F238" s="25"/>
      <c r="G238" s="25">
        <v>1614.28</v>
      </c>
      <c r="H238" s="25">
        <v>114447</v>
      </c>
      <c r="I238" s="25"/>
      <c r="J238" s="25">
        <v>3641.2</v>
      </c>
      <c r="K238" s="25">
        <v>4290</v>
      </c>
      <c r="L238" s="25">
        <v>6695.5</v>
      </c>
      <c r="M238" s="25"/>
      <c r="N238" s="25"/>
      <c r="O238" s="25"/>
      <c r="P238" s="25"/>
      <c r="Q238" s="25">
        <f>27635.32+6695.5</f>
        <v>34330.82</v>
      </c>
      <c r="R238" s="25"/>
      <c r="S238" s="25"/>
      <c r="T238" s="25">
        <f>1010.48+13361.1</f>
        <v>14371.58</v>
      </c>
      <c r="U238" s="25">
        <f>238.89+130.142+4868.68</f>
        <v>5237.7120000000004</v>
      </c>
      <c r="V238" s="26">
        <v>1080</v>
      </c>
      <c r="W238" s="25"/>
      <c r="X238" s="25">
        <v>116313.07</v>
      </c>
    </row>
    <row r="239" spans="1:24" s="7" customFormat="1" ht="15.75" customHeight="1" x14ac:dyDescent="0.35">
      <c r="A239" s="10" t="s">
        <v>96</v>
      </c>
      <c r="B239" s="23">
        <v>96287.52</v>
      </c>
      <c r="C239" s="25">
        <f t="shared" si="3"/>
        <v>65535.73</v>
      </c>
      <c r="D239" s="25"/>
      <c r="E239" s="25"/>
      <c r="F239" s="25"/>
      <c r="G239" s="25"/>
      <c r="H239" s="25"/>
      <c r="I239" s="25"/>
      <c r="J239" s="25">
        <v>766.63</v>
      </c>
      <c r="K239" s="25"/>
      <c r="L239" s="25"/>
      <c r="M239" s="25"/>
      <c r="N239" s="25">
        <v>4167.5200000000004</v>
      </c>
      <c r="O239" s="25"/>
      <c r="P239" s="25"/>
      <c r="Q239" s="30"/>
      <c r="R239" s="25"/>
      <c r="S239" s="25"/>
      <c r="T239" s="25"/>
      <c r="U239" s="25"/>
      <c r="V239" s="26"/>
      <c r="W239" s="25"/>
      <c r="X239" s="25">
        <v>60601.58</v>
      </c>
    </row>
    <row r="240" spans="1:24" s="7" customFormat="1" ht="15.75" customHeight="1" x14ac:dyDescent="0.35">
      <c r="A240" s="10" t="s">
        <v>97</v>
      </c>
      <c r="B240" s="23">
        <v>410535.32</v>
      </c>
      <c r="C240" s="25">
        <f t="shared" si="3"/>
        <v>240561.86579899996</v>
      </c>
      <c r="D240" s="25">
        <f>5369.58+16293.641</f>
        <v>21663.220999999998</v>
      </c>
      <c r="E240" s="25"/>
      <c r="F240" s="25"/>
      <c r="G240" s="25">
        <v>6124.46</v>
      </c>
      <c r="H240" s="25"/>
      <c r="I240" s="25"/>
      <c r="J240" s="25">
        <f>2073.35+6156+2934.22+2572.11+5124.021199</f>
        <v>18859.701198999999</v>
      </c>
      <c r="K240" s="25"/>
      <c r="L240" s="25">
        <v>4725.5600000000004</v>
      </c>
      <c r="M240" s="25"/>
      <c r="N240" s="25">
        <f>1251.7086+9549.86</f>
        <v>10801.568600000001</v>
      </c>
      <c r="O240" s="25"/>
      <c r="P240" s="25"/>
      <c r="Q240" s="25">
        <f>5493+2065.625</f>
        <v>7558.625</v>
      </c>
      <c r="R240" s="25"/>
      <c r="S240" s="25">
        <f>365.505+345.74</f>
        <v>711.245</v>
      </c>
      <c r="T240" s="25">
        <v>2319.62</v>
      </c>
      <c r="U240" s="25">
        <f>390.415+3458.38</f>
        <v>3848.7950000000001</v>
      </c>
      <c r="V240" s="26">
        <v>24408.3</v>
      </c>
      <c r="W240" s="25"/>
      <c r="X240" s="25">
        <v>139540.76999999999</v>
      </c>
    </row>
    <row r="241" spans="1:24" s="7" customFormat="1" ht="15.75" customHeight="1" x14ac:dyDescent="0.35">
      <c r="A241" s="11" t="s">
        <v>98</v>
      </c>
      <c r="B241" s="23">
        <v>712194.72</v>
      </c>
      <c r="C241" s="25">
        <f t="shared" si="3"/>
        <v>503661.96899999998</v>
      </c>
      <c r="D241" s="25"/>
      <c r="E241" s="25"/>
      <c r="F241" s="25"/>
      <c r="G241" s="25">
        <v>21985.95</v>
      </c>
      <c r="H241" s="25"/>
      <c r="I241" s="25"/>
      <c r="J241" s="25">
        <f>2362.24+1136</f>
        <v>3498.24</v>
      </c>
      <c r="K241" s="25"/>
      <c r="L241" s="25">
        <v>3640</v>
      </c>
      <c r="M241" s="25"/>
      <c r="N241" s="25">
        <v>9093.4699999999993</v>
      </c>
      <c r="O241" s="25"/>
      <c r="P241" s="25"/>
      <c r="Q241" s="25">
        <f>2687.757+28353.38+13868.54</f>
        <v>44909.677000000003</v>
      </c>
      <c r="R241" s="25"/>
      <c r="S241" s="25">
        <v>1037.2</v>
      </c>
      <c r="T241" s="25">
        <v>842.072</v>
      </c>
      <c r="U241" s="25"/>
      <c r="V241" s="26">
        <v>1080.8800000000001</v>
      </c>
      <c r="W241" s="25"/>
      <c r="X241" s="25">
        <v>417574.48</v>
      </c>
    </row>
    <row r="242" spans="1:24" ht="15.75" customHeight="1" x14ac:dyDescent="0.35">
      <c r="A242" s="10" t="s">
        <v>99</v>
      </c>
      <c r="B242" s="23">
        <v>11885.86</v>
      </c>
      <c r="C242" s="25">
        <f t="shared" si="3"/>
        <v>5282.3850000000002</v>
      </c>
      <c r="D242" s="25"/>
      <c r="E242" s="25"/>
      <c r="F242" s="25"/>
      <c r="G242" s="25"/>
      <c r="H242" s="25"/>
      <c r="I242" s="25"/>
      <c r="J242" s="25">
        <v>1820</v>
      </c>
      <c r="K242" s="25">
        <v>601</v>
      </c>
      <c r="L242" s="25"/>
      <c r="M242" s="25"/>
      <c r="N242" s="25"/>
      <c r="O242" s="25"/>
      <c r="P242" s="25"/>
      <c r="Q242" s="25"/>
      <c r="R242" s="25"/>
      <c r="S242" s="25"/>
      <c r="T242" s="25">
        <v>344.26499999999999</v>
      </c>
      <c r="U242" s="25">
        <v>2517.12</v>
      </c>
      <c r="V242" s="26"/>
      <c r="W242" s="25"/>
      <c r="X242" s="25"/>
    </row>
    <row r="243" spans="1:24" s="7" customFormat="1" ht="15.75" customHeight="1" x14ac:dyDescent="0.35">
      <c r="A243" s="10" t="s">
        <v>100</v>
      </c>
      <c r="B243" s="23">
        <v>175268.31</v>
      </c>
      <c r="C243" s="25">
        <f t="shared" si="3"/>
        <v>98150.559999999983</v>
      </c>
      <c r="D243" s="25">
        <v>12414</v>
      </c>
      <c r="E243" s="25"/>
      <c r="F243" s="25"/>
      <c r="G243" s="25">
        <f>9642.38+61379.6</f>
        <v>71021.98</v>
      </c>
      <c r="H243" s="25"/>
      <c r="I243" s="25"/>
      <c r="J243" s="25"/>
      <c r="K243" s="25"/>
      <c r="L243" s="25"/>
      <c r="M243" s="25"/>
      <c r="N243" s="25"/>
      <c r="O243" s="25"/>
      <c r="P243" s="25"/>
      <c r="Q243" s="25">
        <f>3250.84+3624</f>
        <v>6874.84</v>
      </c>
      <c r="R243" s="25"/>
      <c r="S243" s="25"/>
      <c r="T243" s="25">
        <v>1653.68</v>
      </c>
      <c r="U243" s="25">
        <v>4455.01</v>
      </c>
      <c r="V243" s="26">
        <v>1731.05</v>
      </c>
      <c r="W243" s="25"/>
      <c r="X243" s="25"/>
    </row>
    <row r="244" spans="1:24" s="7" customFormat="1" ht="15.75" customHeight="1" x14ac:dyDescent="0.35">
      <c r="A244" s="11" t="s">
        <v>101</v>
      </c>
      <c r="B244" s="23">
        <v>152082.96</v>
      </c>
      <c r="C244" s="25">
        <f t="shared" si="3"/>
        <v>119588.85</v>
      </c>
      <c r="D244" s="25"/>
      <c r="E244" s="25"/>
      <c r="F244" s="25"/>
      <c r="G244" s="25"/>
      <c r="H244" s="25">
        <v>98218</v>
      </c>
      <c r="I244" s="25"/>
      <c r="J244" s="25">
        <f>6232.09+2528.76</f>
        <v>8760.85</v>
      </c>
      <c r="K244" s="25"/>
      <c r="L244" s="25"/>
      <c r="M244" s="25">
        <v>6402.31</v>
      </c>
      <c r="N244" s="25"/>
      <c r="O244" s="25"/>
      <c r="P244" s="25"/>
      <c r="Q244" s="25">
        <f>5452+6466.52</f>
        <v>11918.52</v>
      </c>
      <c r="R244" s="25"/>
      <c r="S244" s="25">
        <v>691.48</v>
      </c>
      <c r="T244" s="25"/>
      <c r="U244" s="25"/>
      <c r="V244" s="26"/>
      <c r="W244" s="25"/>
      <c r="X244" s="25"/>
    </row>
    <row r="245" spans="1:24" s="7" customFormat="1" ht="15.75" customHeight="1" x14ac:dyDescent="0.35">
      <c r="A245" s="11" t="s">
        <v>102</v>
      </c>
      <c r="B245" s="23">
        <v>388756.08</v>
      </c>
      <c r="C245" s="25">
        <f t="shared" si="3"/>
        <v>39466.133999999991</v>
      </c>
      <c r="D245" s="25"/>
      <c r="E245" s="25"/>
      <c r="F245" s="25"/>
      <c r="G245" s="25"/>
      <c r="H245" s="25"/>
      <c r="I245" s="25"/>
      <c r="J245" s="25"/>
      <c r="K245" s="25">
        <v>376.48</v>
      </c>
      <c r="L245" s="25">
        <v>7734.09</v>
      </c>
      <c r="M245" s="25"/>
      <c r="N245" s="25"/>
      <c r="O245" s="25"/>
      <c r="P245" s="25"/>
      <c r="Q245" s="25">
        <v>2413.4499999999998</v>
      </c>
      <c r="R245" s="25"/>
      <c r="S245" s="25">
        <v>691.83399999999995</v>
      </c>
      <c r="T245" s="25">
        <f>18606.8+413.26+732</f>
        <v>19752.059999999998</v>
      </c>
      <c r="U245" s="25">
        <v>4721.7700000000004</v>
      </c>
      <c r="V245" s="26">
        <v>3776.45</v>
      </c>
      <c r="W245" s="25"/>
      <c r="X245" s="25"/>
    </row>
    <row r="246" spans="1:24" s="7" customFormat="1" ht="15.75" customHeight="1" x14ac:dyDescent="0.35">
      <c r="A246" s="11" t="s">
        <v>103</v>
      </c>
      <c r="B246" s="23">
        <v>84811.68</v>
      </c>
      <c r="C246" s="25">
        <f t="shared" si="3"/>
        <v>152800.42000000001</v>
      </c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>
        <v>5781.4340000000002</v>
      </c>
      <c r="P246" s="25"/>
      <c r="Q246" s="25">
        <f>2253.776+65415.52+65803.9</f>
        <v>133473.196</v>
      </c>
      <c r="R246" s="25"/>
      <c r="S246" s="25">
        <f>3246.17+1400.12+7391.5</f>
        <v>12037.79</v>
      </c>
      <c r="T246" s="25">
        <v>1508</v>
      </c>
      <c r="U246" s="25"/>
      <c r="V246" s="26"/>
      <c r="W246" s="25"/>
      <c r="X246" s="25"/>
    </row>
    <row r="247" spans="1:24" s="9" customFormat="1" ht="15.75" customHeight="1" x14ac:dyDescent="0.35">
      <c r="A247" s="40" t="s">
        <v>104</v>
      </c>
      <c r="B247" s="41">
        <v>510693.96</v>
      </c>
      <c r="C247" s="25">
        <f t="shared" si="3"/>
        <v>24663.8</v>
      </c>
      <c r="D247" s="31"/>
      <c r="E247" s="31"/>
      <c r="F247" s="31"/>
      <c r="G247" s="31">
        <v>3659.92</v>
      </c>
      <c r="H247" s="31"/>
      <c r="I247" s="31"/>
      <c r="J247" s="31">
        <v>2610.56</v>
      </c>
      <c r="K247" s="31">
        <f>752.95+1867.3+301</f>
        <v>2921.25</v>
      </c>
      <c r="L247" s="31"/>
      <c r="M247" s="31"/>
      <c r="N247" s="31"/>
      <c r="O247" s="31"/>
      <c r="P247" s="31"/>
      <c r="Q247" s="31">
        <v>1229.18</v>
      </c>
      <c r="R247" s="31">
        <v>4626.3900000000003</v>
      </c>
      <c r="S247" s="31">
        <v>1484.5</v>
      </c>
      <c r="T247" s="31">
        <v>2844</v>
      </c>
      <c r="U247" s="31"/>
      <c r="V247" s="32">
        <v>5288</v>
      </c>
      <c r="W247" s="31"/>
      <c r="X247" s="31"/>
    </row>
    <row r="248" spans="1:24" s="7" customFormat="1" ht="15.75" customHeight="1" x14ac:dyDescent="0.35">
      <c r="A248" s="11" t="s">
        <v>105</v>
      </c>
      <c r="B248" s="23">
        <v>89065.56</v>
      </c>
      <c r="C248" s="25">
        <f t="shared" si="3"/>
        <v>6186.42</v>
      </c>
      <c r="D248" s="25"/>
      <c r="E248" s="25">
        <v>3231</v>
      </c>
      <c r="F248" s="25"/>
      <c r="G248" s="25">
        <v>876.91</v>
      </c>
      <c r="H248" s="25"/>
      <c r="I248" s="25"/>
      <c r="J248" s="25"/>
      <c r="K248" s="25"/>
      <c r="L248" s="25"/>
      <c r="M248" s="25"/>
      <c r="N248" s="25"/>
      <c r="O248" s="25"/>
      <c r="P248" s="25"/>
      <c r="Q248" s="25">
        <v>1849</v>
      </c>
      <c r="R248" s="25"/>
      <c r="S248" s="25"/>
      <c r="T248" s="25">
        <v>229.51</v>
      </c>
      <c r="U248" s="25"/>
      <c r="V248" s="26"/>
      <c r="W248" s="25"/>
      <c r="X248" s="25"/>
    </row>
    <row r="249" spans="1:24" ht="15.75" customHeight="1" x14ac:dyDescent="0.35">
      <c r="A249" s="11" t="s">
        <v>106</v>
      </c>
      <c r="B249" s="23">
        <v>88447.2</v>
      </c>
      <c r="C249" s="25">
        <f t="shared" si="3"/>
        <v>4008</v>
      </c>
      <c r="D249" s="25"/>
      <c r="E249" s="25"/>
      <c r="F249" s="25"/>
      <c r="G249" s="25"/>
      <c r="H249" s="25"/>
      <c r="I249" s="25"/>
      <c r="J249" s="25">
        <v>4008</v>
      </c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6"/>
      <c r="W249" s="25"/>
      <c r="X249" s="25"/>
    </row>
    <row r="250" spans="1:24" s="7" customFormat="1" ht="15.75" customHeight="1" x14ac:dyDescent="0.35">
      <c r="A250" s="11" t="s">
        <v>107</v>
      </c>
      <c r="B250" s="23">
        <v>268803.84000000003</v>
      </c>
      <c r="C250" s="25">
        <f t="shared" si="3"/>
        <v>131339.39000000001</v>
      </c>
      <c r="D250" s="25"/>
      <c r="E250" s="25"/>
      <c r="F250" s="25">
        <v>115785</v>
      </c>
      <c r="G250" s="25"/>
      <c r="H250" s="25"/>
      <c r="I250" s="25"/>
      <c r="J250" s="25">
        <v>5979.7</v>
      </c>
      <c r="K250" s="25"/>
      <c r="L250" s="25"/>
      <c r="M250" s="25"/>
      <c r="N250" s="25"/>
      <c r="O250" s="25">
        <f>5781.43+1799.04</f>
        <v>7580.47</v>
      </c>
      <c r="P250" s="25"/>
      <c r="Q250" s="25">
        <v>1800.42</v>
      </c>
      <c r="R250" s="25"/>
      <c r="S250" s="25">
        <v>193.8</v>
      </c>
      <c r="T250" s="25"/>
      <c r="U250" s="25"/>
      <c r="V250" s="26"/>
      <c r="W250" s="25"/>
      <c r="X250" s="25"/>
    </row>
    <row r="251" spans="1:24" ht="15.75" customHeight="1" x14ac:dyDescent="0.35">
      <c r="A251" s="11" t="s">
        <v>108</v>
      </c>
      <c r="B251" s="23">
        <v>224923.56</v>
      </c>
      <c r="C251" s="25">
        <f t="shared" si="3"/>
        <v>0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6"/>
      <c r="W251" s="25"/>
      <c r="X251" s="25"/>
    </row>
    <row r="252" spans="1:24" ht="15.75" customHeight="1" x14ac:dyDescent="0.35">
      <c r="A252" s="11" t="s">
        <v>109</v>
      </c>
      <c r="B252" s="23">
        <v>191302.32</v>
      </c>
      <c r="C252" s="25">
        <f t="shared" si="3"/>
        <v>0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6"/>
      <c r="W252" s="25"/>
      <c r="X252" s="25"/>
    </row>
    <row r="253" spans="1:24" s="46" customFormat="1" ht="15.75" customHeight="1" x14ac:dyDescent="0.35">
      <c r="A253" s="11" t="s">
        <v>110</v>
      </c>
      <c r="B253" s="23">
        <v>55803.24</v>
      </c>
      <c r="C253" s="25">
        <f t="shared" si="3"/>
        <v>63375.28</v>
      </c>
      <c r="D253" s="25"/>
      <c r="E253" s="25"/>
      <c r="F253" s="25"/>
      <c r="G253" s="25">
        <v>982.26</v>
      </c>
      <c r="H253" s="25"/>
      <c r="I253" s="25"/>
      <c r="J253" s="25">
        <v>2752</v>
      </c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6"/>
      <c r="W253" s="25"/>
      <c r="X253" s="25">
        <v>59641.02</v>
      </c>
    </row>
    <row r="254" spans="1:24" s="7" customFormat="1" ht="15.75" customHeight="1" x14ac:dyDescent="0.35">
      <c r="A254" s="11" t="s">
        <v>111</v>
      </c>
      <c r="B254" s="23">
        <v>123494.64</v>
      </c>
      <c r="C254" s="25">
        <f t="shared" si="3"/>
        <v>6479.4299999999994</v>
      </c>
      <c r="D254" s="25"/>
      <c r="E254" s="25"/>
      <c r="F254" s="25"/>
      <c r="G254" s="25"/>
      <c r="H254" s="25"/>
      <c r="I254" s="25"/>
      <c r="J254" s="25">
        <v>565.26</v>
      </c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>
        <v>3982.97</v>
      </c>
      <c r="V254" s="26">
        <v>1931.2</v>
      </c>
      <c r="W254" s="25"/>
      <c r="X254" s="25"/>
    </row>
    <row r="255" spans="1:24" s="7" customFormat="1" ht="15.75" customHeight="1" x14ac:dyDescent="0.35">
      <c r="A255" s="11" t="s">
        <v>112</v>
      </c>
      <c r="B255" s="23">
        <v>231943.08</v>
      </c>
      <c r="C255" s="25">
        <f t="shared" si="3"/>
        <v>6069.18</v>
      </c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>
        <v>5612</v>
      </c>
      <c r="R255" s="25"/>
      <c r="S255" s="25"/>
      <c r="T255" s="25"/>
      <c r="U255" s="25">
        <v>457.18</v>
      </c>
      <c r="V255" s="26"/>
      <c r="W255" s="25"/>
      <c r="X255" s="25"/>
    </row>
    <row r="256" spans="1:24" s="7" customFormat="1" ht="15.75" customHeight="1" x14ac:dyDescent="0.35">
      <c r="A256" s="11" t="s">
        <v>113</v>
      </c>
      <c r="B256" s="23">
        <v>97700</v>
      </c>
      <c r="C256" s="25">
        <f t="shared" si="3"/>
        <v>9417.869999999999</v>
      </c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>
        <v>7273.73</v>
      </c>
      <c r="U256" s="25">
        <v>2144.14</v>
      </c>
      <c r="V256" s="26"/>
      <c r="W256" s="25"/>
      <c r="X256" s="25"/>
    </row>
    <row r="257" spans="1:24" s="7" customFormat="1" ht="15.75" customHeight="1" x14ac:dyDescent="0.35">
      <c r="A257" s="11" t="s">
        <v>114</v>
      </c>
      <c r="B257" s="23">
        <v>95534.28</v>
      </c>
      <c r="C257" s="25">
        <f t="shared" si="3"/>
        <v>140501.799</v>
      </c>
      <c r="D257" s="25">
        <v>672.06899999999996</v>
      </c>
      <c r="E257" s="25"/>
      <c r="F257" s="25"/>
      <c r="G257" s="25"/>
      <c r="H257" s="25"/>
      <c r="I257" s="25"/>
      <c r="J257" s="25">
        <v>4126</v>
      </c>
      <c r="K257" s="25"/>
      <c r="L257" s="25">
        <v>11664</v>
      </c>
      <c r="M257" s="25"/>
      <c r="N257" s="25"/>
      <c r="O257" s="25"/>
      <c r="P257" s="25"/>
      <c r="Q257" s="25">
        <v>18573</v>
      </c>
      <c r="R257" s="25"/>
      <c r="S257" s="25"/>
      <c r="T257" s="25">
        <v>7930</v>
      </c>
      <c r="U257" s="25">
        <v>7534.77</v>
      </c>
      <c r="V257" s="26">
        <f>1894.94+2217.49+4156</f>
        <v>8268.43</v>
      </c>
      <c r="W257" s="25"/>
      <c r="X257" s="25">
        <v>81733.53</v>
      </c>
    </row>
    <row r="258" spans="1:24" ht="15.75" customHeight="1" x14ac:dyDescent="0.35">
      <c r="A258" s="11" t="s">
        <v>115</v>
      </c>
      <c r="B258" s="23">
        <v>78760.320000000007</v>
      </c>
      <c r="C258" s="25">
        <f t="shared" si="3"/>
        <v>1690.31</v>
      </c>
      <c r="D258" s="25"/>
      <c r="E258" s="25"/>
      <c r="F258" s="25"/>
      <c r="G258" s="25"/>
      <c r="H258" s="25"/>
      <c r="I258" s="25"/>
      <c r="J258" s="25"/>
      <c r="K258" s="25">
        <v>378.54</v>
      </c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6">
        <f>432.77+879</f>
        <v>1311.77</v>
      </c>
      <c r="W258" s="25"/>
      <c r="X258" s="25"/>
    </row>
    <row r="259" spans="1:24" s="7" customFormat="1" ht="15.75" customHeight="1" x14ac:dyDescent="0.35">
      <c r="A259" s="11" t="s">
        <v>116</v>
      </c>
      <c r="B259" s="23">
        <v>25630.68</v>
      </c>
      <c r="C259" s="25">
        <f t="shared" si="3"/>
        <v>21471.370000000003</v>
      </c>
      <c r="D259" s="25"/>
      <c r="E259" s="25"/>
      <c r="F259" s="25"/>
      <c r="G259" s="25"/>
      <c r="H259" s="25"/>
      <c r="I259" s="25"/>
      <c r="J259" s="25">
        <v>2616</v>
      </c>
      <c r="K259" s="25">
        <v>376.48</v>
      </c>
      <c r="L259" s="25"/>
      <c r="M259" s="25"/>
      <c r="N259" s="25"/>
      <c r="O259" s="25"/>
      <c r="P259" s="25"/>
      <c r="Q259" s="25">
        <v>8780.7900000000009</v>
      </c>
      <c r="R259" s="25"/>
      <c r="S259" s="25"/>
      <c r="T259" s="25"/>
      <c r="U259" s="25"/>
      <c r="V259" s="26">
        <f>432.77+4026</f>
        <v>4458.7700000000004</v>
      </c>
      <c r="W259" s="25"/>
      <c r="X259" s="25">
        <v>5239.33</v>
      </c>
    </row>
    <row r="260" spans="1:24" s="44" customFormat="1" ht="15.75" customHeight="1" x14ac:dyDescent="0.35">
      <c r="A260" s="11" t="s">
        <v>117</v>
      </c>
      <c r="B260" s="23">
        <v>110412.84</v>
      </c>
      <c r="C260" s="25">
        <f t="shared" si="3"/>
        <v>98648.5478</v>
      </c>
      <c r="D260" s="25">
        <v>2732.0068000000001</v>
      </c>
      <c r="E260" s="25"/>
      <c r="F260" s="25"/>
      <c r="G260" s="25">
        <v>9554.81</v>
      </c>
      <c r="H260" s="25"/>
      <c r="I260" s="25"/>
      <c r="J260" s="25"/>
      <c r="K260" s="25"/>
      <c r="L260" s="25">
        <f>1871+2121</f>
        <v>3992</v>
      </c>
      <c r="M260" s="25"/>
      <c r="N260" s="25"/>
      <c r="O260" s="25"/>
      <c r="P260" s="25"/>
      <c r="Q260" s="25">
        <v>2255.35</v>
      </c>
      <c r="R260" s="25"/>
      <c r="S260" s="25">
        <v>474.63099999999997</v>
      </c>
      <c r="T260" s="25"/>
      <c r="U260" s="25"/>
      <c r="V260" s="26">
        <f>432.77+879</f>
        <v>1311.77</v>
      </c>
      <c r="W260" s="25"/>
      <c r="X260" s="25">
        <v>78327.98</v>
      </c>
    </row>
    <row r="261" spans="1:24" ht="15.75" customHeight="1" x14ac:dyDescent="0.35">
      <c r="A261" s="13" t="s">
        <v>118</v>
      </c>
      <c r="B261" s="22">
        <v>105162.84</v>
      </c>
      <c r="C261" s="25">
        <f t="shared" si="3"/>
        <v>49274.68</v>
      </c>
      <c r="D261" s="42"/>
      <c r="E261" s="42"/>
      <c r="F261" s="42"/>
      <c r="G261" s="42"/>
      <c r="H261" s="42"/>
      <c r="I261" s="42"/>
      <c r="J261" s="42">
        <v>2959</v>
      </c>
      <c r="K261" s="42">
        <v>559.85</v>
      </c>
      <c r="L261" s="42"/>
      <c r="M261" s="42"/>
      <c r="N261" s="42"/>
      <c r="O261" s="42"/>
      <c r="P261" s="42"/>
      <c r="Q261" s="42">
        <v>783</v>
      </c>
      <c r="R261" s="42"/>
      <c r="S261" s="42"/>
      <c r="T261" s="42"/>
      <c r="U261" s="42"/>
      <c r="V261" s="43">
        <f>432.77+879</f>
        <v>1311.77</v>
      </c>
      <c r="W261" s="42"/>
      <c r="X261" s="42">
        <v>43661.06</v>
      </c>
    </row>
    <row r="262" spans="1:24" ht="15.75" customHeight="1" x14ac:dyDescent="0.35">
      <c r="A262" s="11" t="s">
        <v>119</v>
      </c>
      <c r="B262" s="23">
        <v>37602.480000000003</v>
      </c>
      <c r="C262" s="25">
        <f t="shared" si="3"/>
        <v>163006.18</v>
      </c>
      <c r="D262" s="25"/>
      <c r="E262" s="25"/>
      <c r="F262" s="25"/>
      <c r="G262" s="25">
        <v>9554.81</v>
      </c>
      <c r="H262" s="25"/>
      <c r="I262" s="25"/>
      <c r="J262" s="25">
        <f>2365.88+2509</f>
        <v>4874.88</v>
      </c>
      <c r="K262" s="25"/>
      <c r="L262" s="25">
        <f>8596.12+41895</f>
        <v>50491.12</v>
      </c>
      <c r="M262" s="25"/>
      <c r="N262" s="25"/>
      <c r="O262" s="25"/>
      <c r="P262" s="25"/>
      <c r="Q262" s="25"/>
      <c r="R262" s="25"/>
      <c r="S262" s="25"/>
      <c r="T262" s="25"/>
      <c r="U262" s="25"/>
      <c r="V262" s="26">
        <f>432.77+987</f>
        <v>1419.77</v>
      </c>
      <c r="W262" s="25"/>
      <c r="X262" s="25">
        <v>96665.600000000006</v>
      </c>
    </row>
    <row r="263" spans="1:24" ht="15.75" customHeight="1" x14ac:dyDescent="0.35">
      <c r="A263" s="11" t="s">
        <v>120</v>
      </c>
      <c r="B263" s="23">
        <v>103532.04</v>
      </c>
      <c r="C263" s="25">
        <f t="shared" si="3"/>
        <v>285611.2254</v>
      </c>
      <c r="D263" s="25">
        <v>17305.669999999998</v>
      </c>
      <c r="E263" s="25"/>
      <c r="F263" s="25"/>
      <c r="G263" s="25">
        <f>9554.81+1230.82+737</f>
        <v>11522.63</v>
      </c>
      <c r="H263" s="25">
        <v>138503</v>
      </c>
      <c r="I263" s="25"/>
      <c r="J263" s="25">
        <f>4000.18+1002</f>
        <v>5002.18</v>
      </c>
      <c r="K263" s="25"/>
      <c r="L263" s="25">
        <v>6834.32</v>
      </c>
      <c r="M263" s="25"/>
      <c r="N263" s="25">
        <f>1531.6754+1849</f>
        <v>3380.6754000000001</v>
      </c>
      <c r="O263" s="25"/>
      <c r="P263" s="25"/>
      <c r="Q263" s="25"/>
      <c r="R263" s="25"/>
      <c r="S263" s="25"/>
      <c r="T263" s="25"/>
      <c r="U263" s="25"/>
      <c r="V263" s="26">
        <f>432.77+987</f>
        <v>1419.77</v>
      </c>
      <c r="W263" s="25"/>
      <c r="X263" s="25">
        <v>101642.98</v>
      </c>
    </row>
    <row r="264" spans="1:24" s="7" customFormat="1" ht="15.75" customHeight="1" x14ac:dyDescent="0.35">
      <c r="A264" s="11" t="s">
        <v>121</v>
      </c>
      <c r="B264" s="23">
        <v>97158.720000000001</v>
      </c>
      <c r="C264" s="25">
        <f t="shared" si="3"/>
        <v>20101.48</v>
      </c>
      <c r="D264" s="25"/>
      <c r="E264" s="25"/>
      <c r="F264" s="25"/>
      <c r="G264" s="25"/>
      <c r="H264" s="25"/>
      <c r="I264" s="25"/>
      <c r="J264" s="25">
        <v>1893</v>
      </c>
      <c r="K264" s="25"/>
      <c r="L264" s="25"/>
      <c r="M264" s="25"/>
      <c r="N264" s="25">
        <v>1251.71</v>
      </c>
      <c r="O264" s="25">
        <v>13696</v>
      </c>
      <c r="P264" s="25"/>
      <c r="Q264" s="25"/>
      <c r="R264" s="25"/>
      <c r="S264" s="25"/>
      <c r="T264" s="25"/>
      <c r="U264" s="25">
        <v>2828</v>
      </c>
      <c r="V264" s="26">
        <v>432.77</v>
      </c>
      <c r="W264" s="25"/>
      <c r="X264" s="25"/>
    </row>
    <row r="265" spans="1:24" s="7" customFormat="1" ht="15.75" customHeight="1" x14ac:dyDescent="0.35">
      <c r="A265" s="10" t="s">
        <v>122</v>
      </c>
      <c r="B265" s="23">
        <v>134215.62</v>
      </c>
      <c r="C265" s="25">
        <f t="shared" si="3"/>
        <v>122475.35</v>
      </c>
      <c r="D265" s="25"/>
      <c r="E265" s="25"/>
      <c r="F265" s="25"/>
      <c r="G265" s="25">
        <v>627.67999999999995</v>
      </c>
      <c r="H265" s="25"/>
      <c r="I265" s="25"/>
      <c r="J265" s="25"/>
      <c r="K265" s="25">
        <v>6875.42</v>
      </c>
      <c r="L265" s="25">
        <v>9395</v>
      </c>
      <c r="M265" s="25"/>
      <c r="N265" s="25"/>
      <c r="O265" s="25"/>
      <c r="P265" s="25"/>
      <c r="Q265" s="25"/>
      <c r="R265" s="25"/>
      <c r="S265" s="25"/>
      <c r="T265" s="25">
        <v>878</v>
      </c>
      <c r="U265" s="25"/>
      <c r="V265" s="26"/>
      <c r="W265" s="25"/>
      <c r="X265" s="25">
        <v>104699.25</v>
      </c>
    </row>
    <row r="266" spans="1:24" ht="15.75" customHeight="1" x14ac:dyDescent="0.35">
      <c r="A266" s="10" t="s">
        <v>123</v>
      </c>
      <c r="B266" s="23">
        <v>112899.21</v>
      </c>
      <c r="C266" s="25">
        <f t="shared" si="3"/>
        <v>156265.16999999998</v>
      </c>
      <c r="D266" s="25"/>
      <c r="E266" s="25"/>
      <c r="F266" s="25">
        <v>84069</v>
      </c>
      <c r="G266" s="25">
        <v>627.67999999999995</v>
      </c>
      <c r="H266" s="25"/>
      <c r="I266" s="25"/>
      <c r="J266" s="25"/>
      <c r="K266" s="25"/>
      <c r="L266" s="25"/>
      <c r="M266" s="25"/>
      <c r="N266" s="25"/>
      <c r="O266" s="25"/>
      <c r="P266" s="25"/>
      <c r="Q266" s="25">
        <v>2584</v>
      </c>
      <c r="R266" s="25"/>
      <c r="S266" s="25"/>
      <c r="T266" s="25"/>
      <c r="U266" s="25"/>
      <c r="V266" s="26"/>
      <c r="W266" s="25"/>
      <c r="X266" s="25">
        <v>68984.490000000005</v>
      </c>
    </row>
    <row r="267" spans="1:24" s="7" customFormat="1" ht="15.75" customHeight="1" x14ac:dyDescent="0.35">
      <c r="A267" s="10" t="s">
        <v>124</v>
      </c>
      <c r="B267" s="23">
        <v>241316.31</v>
      </c>
      <c r="C267" s="25">
        <f t="shared" si="3"/>
        <v>166527.8774</v>
      </c>
      <c r="D267" s="25">
        <f>9242.8574+29513</f>
        <v>38755.857400000001</v>
      </c>
      <c r="E267" s="25"/>
      <c r="F267" s="25">
        <v>74641</v>
      </c>
      <c r="G267" s="25">
        <f>3908.38+11153.6</f>
        <v>15061.98</v>
      </c>
      <c r="H267" s="25"/>
      <c r="I267" s="25"/>
      <c r="J267" s="25">
        <f>5118+4098.86</f>
        <v>9216.86</v>
      </c>
      <c r="K267" s="25"/>
      <c r="L267" s="25"/>
      <c r="M267" s="25"/>
      <c r="N267" s="25"/>
      <c r="O267" s="25">
        <v>5465.14</v>
      </c>
      <c r="P267" s="25"/>
      <c r="Q267" s="25"/>
      <c r="R267" s="25"/>
      <c r="S267" s="25"/>
      <c r="T267" s="25">
        <v>3479.43</v>
      </c>
      <c r="U267" s="25">
        <v>12146.4</v>
      </c>
      <c r="V267" s="26">
        <v>7761.21</v>
      </c>
      <c r="W267" s="25"/>
      <c r="X267" s="25"/>
    </row>
    <row r="268" spans="1:24" ht="15.75" customHeight="1" x14ac:dyDescent="0.35">
      <c r="A268" s="10" t="s">
        <v>125</v>
      </c>
      <c r="B268" s="23">
        <v>65929.73</v>
      </c>
      <c r="C268" s="25">
        <f t="shared" si="3"/>
        <v>55236.850000000006</v>
      </c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>
        <v>2319.62</v>
      </c>
      <c r="R268" s="25"/>
      <c r="S268" s="25"/>
      <c r="T268" s="25"/>
      <c r="U268" s="25"/>
      <c r="V268" s="26"/>
      <c r="W268" s="25"/>
      <c r="X268" s="25">
        <v>52917.23</v>
      </c>
    </row>
    <row r="269" spans="1:24" s="7" customFormat="1" ht="15.75" customHeight="1" x14ac:dyDescent="0.35">
      <c r="A269" s="10" t="s">
        <v>126</v>
      </c>
      <c r="B269" s="23">
        <v>717181.03</v>
      </c>
      <c r="C269" s="25">
        <f t="shared" si="3"/>
        <v>371652.071</v>
      </c>
      <c r="D269" s="25">
        <v>192539.01</v>
      </c>
      <c r="E269" s="25"/>
      <c r="F269" s="25"/>
      <c r="G269" s="25"/>
      <c r="H269" s="25"/>
      <c r="I269" s="25"/>
      <c r="J269" s="25">
        <f>2018+7164</f>
        <v>9182</v>
      </c>
      <c r="K269" s="25">
        <v>367.11</v>
      </c>
      <c r="L269" s="25"/>
      <c r="M269" s="25"/>
      <c r="N269" s="25"/>
      <c r="O269" s="25"/>
      <c r="P269" s="25"/>
      <c r="Q269" s="25">
        <v>5766.3180000000002</v>
      </c>
      <c r="R269" s="25"/>
      <c r="S269" s="25"/>
      <c r="T269" s="25">
        <f>573.763+5040</f>
        <v>5613.7629999999999</v>
      </c>
      <c r="U269" s="25">
        <f>1243.37+832.43+1009.03</f>
        <v>3084.83</v>
      </c>
      <c r="V269" s="26">
        <f>1298.28+987</f>
        <v>2285.2799999999997</v>
      </c>
      <c r="W269" s="25"/>
      <c r="X269" s="25">
        <v>152813.76000000001</v>
      </c>
    </row>
    <row r="270" spans="1:24" s="7" customFormat="1" ht="15.75" customHeight="1" x14ac:dyDescent="0.35">
      <c r="A270" s="11" t="s">
        <v>127</v>
      </c>
      <c r="B270" s="23">
        <v>150789.12</v>
      </c>
      <c r="C270" s="25">
        <f t="shared" ref="C270:C333" si="4">D270+E270+G270+H270+I270+J270+K270+L270+N270+O270+P270+Q270+R270+S270+T270+U270+V270+W270+X270+F270</f>
        <v>88426.13</v>
      </c>
      <c r="D270" s="25">
        <v>10990.331</v>
      </c>
      <c r="E270" s="25"/>
      <c r="F270" s="25"/>
      <c r="G270" s="25"/>
      <c r="H270" s="25"/>
      <c r="I270" s="25"/>
      <c r="J270" s="25">
        <v>7092.68</v>
      </c>
      <c r="K270" s="25">
        <v>376.47899999999998</v>
      </c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6">
        <v>3776.45</v>
      </c>
      <c r="W270" s="25"/>
      <c r="X270" s="25">
        <v>66190.19</v>
      </c>
    </row>
    <row r="271" spans="1:24" ht="15.75" customHeight="1" x14ac:dyDescent="0.35">
      <c r="A271" s="11" t="s">
        <v>128</v>
      </c>
      <c r="B271" s="23">
        <v>86716.56</v>
      </c>
      <c r="C271" s="25">
        <f t="shared" si="4"/>
        <v>84090.06</v>
      </c>
      <c r="D271" s="25"/>
      <c r="E271" s="25"/>
      <c r="F271" s="25"/>
      <c r="G271" s="25"/>
      <c r="H271" s="25"/>
      <c r="I271" s="25"/>
      <c r="J271" s="25">
        <f>224.64+4341.68+5344.02</f>
        <v>9910.34</v>
      </c>
      <c r="K271" s="25"/>
      <c r="L271" s="25"/>
      <c r="M271" s="25"/>
      <c r="N271" s="25"/>
      <c r="O271" s="25">
        <v>5781.43</v>
      </c>
      <c r="P271" s="25"/>
      <c r="Q271" s="25"/>
      <c r="R271" s="25"/>
      <c r="S271" s="25"/>
      <c r="T271" s="25"/>
      <c r="U271" s="25"/>
      <c r="V271" s="26">
        <f>432.77+1950</f>
        <v>2382.77</v>
      </c>
      <c r="W271" s="25"/>
      <c r="X271" s="25">
        <v>66015.520000000004</v>
      </c>
    </row>
    <row r="272" spans="1:24" ht="15.75" customHeight="1" x14ac:dyDescent="0.35">
      <c r="A272" s="11" t="s">
        <v>129</v>
      </c>
      <c r="B272" s="23">
        <v>143256.95999999999</v>
      </c>
      <c r="C272" s="25">
        <f t="shared" si="4"/>
        <v>125254.75</v>
      </c>
      <c r="D272" s="25"/>
      <c r="E272" s="25"/>
      <c r="F272" s="25"/>
      <c r="G272" s="25"/>
      <c r="H272" s="25"/>
      <c r="I272" s="25"/>
      <c r="J272" s="25">
        <v>1172</v>
      </c>
      <c r="K272" s="25">
        <v>367</v>
      </c>
      <c r="L272" s="25">
        <v>3054.66</v>
      </c>
      <c r="M272" s="25"/>
      <c r="N272" s="25"/>
      <c r="O272" s="25">
        <v>9815.34</v>
      </c>
      <c r="P272" s="25"/>
      <c r="Q272" s="25">
        <v>9015</v>
      </c>
      <c r="R272" s="25"/>
      <c r="S272" s="25">
        <v>4033.8</v>
      </c>
      <c r="T272" s="25"/>
      <c r="U272" s="25"/>
      <c r="V272" s="26">
        <v>432.77</v>
      </c>
      <c r="W272" s="25"/>
      <c r="X272" s="25">
        <v>97364.18</v>
      </c>
    </row>
    <row r="273" spans="1:24" s="7" customFormat="1" ht="15.75" customHeight="1" x14ac:dyDescent="0.35">
      <c r="A273" s="11" t="s">
        <v>130</v>
      </c>
      <c r="B273" s="23">
        <v>123087.36</v>
      </c>
      <c r="C273" s="25">
        <f t="shared" si="4"/>
        <v>18528.239999999998</v>
      </c>
      <c r="D273" s="25"/>
      <c r="E273" s="25"/>
      <c r="F273" s="25"/>
      <c r="G273" s="25"/>
      <c r="H273" s="25"/>
      <c r="I273" s="25"/>
      <c r="J273" s="25">
        <v>565</v>
      </c>
      <c r="K273" s="25">
        <f>752.95+376.48+367+7438</f>
        <v>8934.43</v>
      </c>
      <c r="L273" s="25"/>
      <c r="M273" s="25"/>
      <c r="N273" s="25"/>
      <c r="O273" s="25"/>
      <c r="P273" s="25"/>
      <c r="Q273" s="25"/>
      <c r="R273" s="25"/>
      <c r="S273" s="25"/>
      <c r="T273" s="25">
        <v>9028.81</v>
      </c>
      <c r="U273" s="25"/>
      <c r="V273" s="26"/>
      <c r="W273" s="25"/>
      <c r="X273" s="25"/>
    </row>
    <row r="274" spans="1:24" s="7" customFormat="1" ht="15.75" customHeight="1" x14ac:dyDescent="0.35">
      <c r="A274" s="11" t="s">
        <v>131</v>
      </c>
      <c r="B274" s="23">
        <v>443137.08</v>
      </c>
      <c r="C274" s="25">
        <f t="shared" si="4"/>
        <v>96752.83</v>
      </c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>
        <f>28925.72+315.11+1530+6106+1986+1625</f>
        <v>40487.83</v>
      </c>
      <c r="R274" s="25"/>
      <c r="S274" s="25">
        <f>55320+630+315</f>
        <v>56265</v>
      </c>
      <c r="T274" s="25"/>
      <c r="U274" s="25"/>
      <c r="V274" s="26"/>
      <c r="W274" s="25"/>
      <c r="X274" s="25"/>
    </row>
    <row r="275" spans="1:24" s="7" customFormat="1" ht="15.75" customHeight="1" x14ac:dyDescent="0.35">
      <c r="A275" s="11" t="s">
        <v>132</v>
      </c>
      <c r="B275" s="23">
        <v>92859.24</v>
      </c>
      <c r="C275" s="25">
        <f t="shared" si="4"/>
        <v>60889.4</v>
      </c>
      <c r="D275" s="25"/>
      <c r="E275" s="25"/>
      <c r="F275" s="25"/>
      <c r="G275" s="25">
        <v>6638.08</v>
      </c>
      <c r="H275" s="25"/>
      <c r="I275" s="25"/>
      <c r="J275" s="25"/>
      <c r="K275" s="25">
        <v>367</v>
      </c>
      <c r="L275" s="25"/>
      <c r="M275" s="25">
        <f>5694.76</f>
        <v>5694.76</v>
      </c>
      <c r="N275" s="25"/>
      <c r="O275" s="25"/>
      <c r="P275" s="25"/>
      <c r="Q275" s="25">
        <f>1691.51+887.9+7854</f>
        <v>10433.41</v>
      </c>
      <c r="R275" s="25"/>
      <c r="S275" s="25">
        <v>1187</v>
      </c>
      <c r="T275" s="25"/>
      <c r="U275" s="25"/>
      <c r="V275" s="26"/>
      <c r="W275" s="25"/>
      <c r="X275" s="25">
        <v>42263.91</v>
      </c>
    </row>
    <row r="276" spans="1:24" ht="15.75" customHeight="1" x14ac:dyDescent="0.35">
      <c r="A276" s="11" t="s">
        <v>133</v>
      </c>
      <c r="B276" s="23">
        <v>221659.32</v>
      </c>
      <c r="C276" s="25">
        <f t="shared" si="4"/>
        <v>155778.53080000001</v>
      </c>
      <c r="D276" s="25">
        <f>31330.97+2054</f>
        <v>33384.97</v>
      </c>
      <c r="E276" s="25"/>
      <c r="F276" s="25"/>
      <c r="G276" s="25"/>
      <c r="H276" s="25"/>
      <c r="I276" s="25"/>
      <c r="J276" s="25"/>
      <c r="K276" s="25">
        <f>2169.42+302+255.5408</f>
        <v>2726.9607999999998</v>
      </c>
      <c r="L276" s="25">
        <v>10761.6</v>
      </c>
      <c r="M276" s="25">
        <v>2169.4299999999998</v>
      </c>
      <c r="N276" s="25">
        <v>1956</v>
      </c>
      <c r="O276" s="25"/>
      <c r="P276" s="25"/>
      <c r="Q276" s="25"/>
      <c r="R276" s="25"/>
      <c r="S276" s="25"/>
      <c r="T276" s="25"/>
      <c r="U276" s="25">
        <v>187</v>
      </c>
      <c r="V276" s="26"/>
      <c r="W276" s="25"/>
      <c r="X276" s="25">
        <v>106762</v>
      </c>
    </row>
    <row r="277" spans="1:24" s="7" customFormat="1" ht="15.75" customHeight="1" x14ac:dyDescent="0.35">
      <c r="A277" s="11" t="s">
        <v>134</v>
      </c>
      <c r="B277" s="23">
        <v>81123.12</v>
      </c>
      <c r="C277" s="25">
        <f t="shared" si="4"/>
        <v>144032.29</v>
      </c>
      <c r="D277" s="25"/>
      <c r="E277" s="25"/>
      <c r="F277" s="25"/>
      <c r="G277" s="25">
        <v>986.6</v>
      </c>
      <c r="H277" s="25"/>
      <c r="I277" s="25"/>
      <c r="J277" s="25"/>
      <c r="K277" s="25">
        <v>302</v>
      </c>
      <c r="L277" s="25">
        <f>2823+139487.92</f>
        <v>142310.92000000001</v>
      </c>
      <c r="M277" s="25"/>
      <c r="N277" s="25"/>
      <c r="O277" s="25"/>
      <c r="P277" s="25"/>
      <c r="Q277" s="25"/>
      <c r="R277" s="25"/>
      <c r="S277" s="25"/>
      <c r="T277" s="25"/>
      <c r="U277" s="25"/>
      <c r="V277" s="26">
        <v>432.77</v>
      </c>
      <c r="W277" s="25"/>
      <c r="X277" s="25"/>
    </row>
    <row r="278" spans="1:24" s="7" customFormat="1" ht="15.75" customHeight="1" x14ac:dyDescent="0.35">
      <c r="A278" s="11" t="s">
        <v>135</v>
      </c>
      <c r="B278" s="23">
        <v>197613.72</v>
      </c>
      <c r="C278" s="25">
        <f t="shared" si="4"/>
        <v>177169.49599999998</v>
      </c>
      <c r="D278" s="25"/>
      <c r="E278" s="25"/>
      <c r="F278" s="25"/>
      <c r="G278" s="25"/>
      <c r="H278" s="25">
        <v>59325</v>
      </c>
      <c r="I278" s="25"/>
      <c r="J278" s="25"/>
      <c r="K278" s="25">
        <v>376.48</v>
      </c>
      <c r="L278" s="25">
        <v>2333.91</v>
      </c>
      <c r="M278" s="25"/>
      <c r="N278" s="25">
        <f>5490.95+1869.976</f>
        <v>7360.9259999999995</v>
      </c>
      <c r="O278" s="25">
        <v>5780.91</v>
      </c>
      <c r="P278" s="25"/>
      <c r="Q278" s="25"/>
      <c r="R278" s="25"/>
      <c r="S278" s="25"/>
      <c r="T278" s="25"/>
      <c r="U278" s="25"/>
      <c r="V278" s="26"/>
      <c r="W278" s="25"/>
      <c r="X278" s="25">
        <v>101992.27</v>
      </c>
    </row>
    <row r="279" spans="1:24" s="7" customFormat="1" ht="15.75" customHeight="1" x14ac:dyDescent="0.35">
      <c r="A279" s="11" t="s">
        <v>136</v>
      </c>
      <c r="B279" s="23">
        <v>184702.44</v>
      </c>
      <c r="C279" s="25">
        <f t="shared" si="4"/>
        <v>52839.688000000002</v>
      </c>
      <c r="D279" s="25"/>
      <c r="E279" s="25"/>
      <c r="F279" s="25"/>
      <c r="G279" s="25"/>
      <c r="H279" s="25"/>
      <c r="I279" s="25"/>
      <c r="J279" s="25">
        <v>2333</v>
      </c>
      <c r="K279" s="25">
        <v>1222.9000000000001</v>
      </c>
      <c r="L279" s="25"/>
      <c r="M279" s="25"/>
      <c r="N279" s="25">
        <v>933.1</v>
      </c>
      <c r="O279" s="25"/>
      <c r="P279" s="25"/>
      <c r="Q279" s="25">
        <f>5167.078+1502.52</f>
        <v>6669.598</v>
      </c>
      <c r="R279" s="25">
        <v>4354.2</v>
      </c>
      <c r="S279" s="25">
        <v>2031.15</v>
      </c>
      <c r="T279" s="25">
        <f>11359.2+210</f>
        <v>11569.2</v>
      </c>
      <c r="U279" s="25">
        <v>17240.080000000002</v>
      </c>
      <c r="V279" s="26">
        <v>6486.46</v>
      </c>
      <c r="W279" s="25"/>
      <c r="X279" s="25"/>
    </row>
    <row r="280" spans="1:24" s="7" customFormat="1" ht="15.75" customHeight="1" x14ac:dyDescent="0.35">
      <c r="A280" s="11" t="s">
        <v>137</v>
      </c>
      <c r="B280" s="23">
        <v>121278.6</v>
      </c>
      <c r="C280" s="25">
        <f t="shared" si="4"/>
        <v>71746.179999999993</v>
      </c>
      <c r="D280" s="25"/>
      <c r="E280" s="25"/>
      <c r="F280" s="25"/>
      <c r="G280" s="25"/>
      <c r="H280" s="25"/>
      <c r="I280" s="25"/>
      <c r="J280" s="25"/>
      <c r="K280" s="25">
        <f>376.48+376.48</f>
        <v>752.96</v>
      </c>
      <c r="L280" s="25">
        <v>6898.76</v>
      </c>
      <c r="M280" s="25"/>
      <c r="N280" s="25"/>
      <c r="O280" s="25"/>
      <c r="P280" s="25"/>
      <c r="Q280" s="25"/>
      <c r="R280" s="25"/>
      <c r="S280" s="25"/>
      <c r="T280" s="25"/>
      <c r="U280" s="25"/>
      <c r="V280" s="26"/>
      <c r="W280" s="25"/>
      <c r="X280" s="25">
        <v>64094.46</v>
      </c>
    </row>
    <row r="281" spans="1:24" s="7" customFormat="1" ht="15.75" customHeight="1" x14ac:dyDescent="0.35">
      <c r="A281" s="10" t="s">
        <v>2</v>
      </c>
      <c r="B281" s="23">
        <v>323187.96000000002</v>
      </c>
      <c r="C281" s="25">
        <f t="shared" si="4"/>
        <v>83657.650000000009</v>
      </c>
      <c r="D281" s="25"/>
      <c r="E281" s="25"/>
      <c r="F281" s="25"/>
      <c r="G281" s="25"/>
      <c r="H281" s="25"/>
      <c r="I281" s="25"/>
      <c r="J281" s="25">
        <f>1047+349</f>
        <v>1396</v>
      </c>
      <c r="K281" s="25"/>
      <c r="L281" s="25"/>
      <c r="M281" s="25"/>
      <c r="N281" s="25">
        <v>782.41</v>
      </c>
      <c r="O281" s="25"/>
      <c r="P281" s="25"/>
      <c r="Q281" s="25"/>
      <c r="R281" s="25"/>
      <c r="S281" s="25"/>
      <c r="T281" s="25"/>
      <c r="U281" s="25">
        <v>561</v>
      </c>
      <c r="V281" s="26">
        <f>432.77+61.78</f>
        <v>494.54999999999995</v>
      </c>
      <c r="W281" s="25"/>
      <c r="X281" s="25">
        <v>80423.69</v>
      </c>
    </row>
    <row r="282" spans="1:24" ht="15.75" customHeight="1" x14ac:dyDescent="0.35">
      <c r="A282" s="11" t="s">
        <v>138</v>
      </c>
      <c r="B282" s="23">
        <v>80068.320000000007</v>
      </c>
      <c r="C282" s="25">
        <f t="shared" si="4"/>
        <v>74018.87999999999</v>
      </c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6">
        <f>432.77+1108.74</f>
        <v>1541.51</v>
      </c>
      <c r="W282" s="25"/>
      <c r="X282" s="25">
        <v>72477.37</v>
      </c>
    </row>
    <row r="283" spans="1:24" s="7" customFormat="1" ht="15.75" customHeight="1" x14ac:dyDescent="0.35">
      <c r="A283" s="11" t="s">
        <v>139</v>
      </c>
      <c r="B283" s="23">
        <v>378911.64</v>
      </c>
      <c r="C283" s="25">
        <f t="shared" si="4"/>
        <v>416138.56999999995</v>
      </c>
      <c r="D283" s="25"/>
      <c r="E283" s="25"/>
      <c r="F283" s="25"/>
      <c r="G283" s="25">
        <v>180386.95300000001</v>
      </c>
      <c r="H283" s="25"/>
      <c r="I283" s="25"/>
      <c r="J283" s="25">
        <f>3025.15+994</f>
        <v>4019.15</v>
      </c>
      <c r="K283" s="25">
        <f>376.48+376.479+376.479</f>
        <v>1129.4380000000001</v>
      </c>
      <c r="L283" s="25"/>
      <c r="M283" s="25"/>
      <c r="N283" s="25">
        <v>1204</v>
      </c>
      <c r="O283" s="25"/>
      <c r="P283" s="25"/>
      <c r="Q283" s="25">
        <f>38589.52+4142</f>
        <v>42731.519999999997</v>
      </c>
      <c r="R283" s="25"/>
      <c r="S283" s="25">
        <f>405.96+4070.4</f>
        <v>4476.3599999999997</v>
      </c>
      <c r="T283" s="25">
        <f>495.919+3763</f>
        <v>4258.9189999999999</v>
      </c>
      <c r="U283" s="25"/>
      <c r="V283" s="26">
        <f>432.77+1108.74</f>
        <v>1541.51</v>
      </c>
      <c r="W283" s="25"/>
      <c r="X283" s="25">
        <v>176390.72</v>
      </c>
    </row>
    <row r="284" spans="1:24" s="7" customFormat="1" ht="15.75" customHeight="1" x14ac:dyDescent="0.35">
      <c r="A284" s="11" t="s">
        <v>140</v>
      </c>
      <c r="B284" s="23">
        <v>129503.16</v>
      </c>
      <c r="C284" s="25">
        <f t="shared" si="4"/>
        <v>91084.002999999997</v>
      </c>
      <c r="D284" s="25"/>
      <c r="E284" s="25"/>
      <c r="F284" s="25"/>
      <c r="G284" s="25">
        <v>3800.39</v>
      </c>
      <c r="H284" s="25"/>
      <c r="I284" s="25"/>
      <c r="J284" s="25">
        <f>3942.75+2634</f>
        <v>6576.75</v>
      </c>
      <c r="K284" s="25">
        <v>3472.9</v>
      </c>
      <c r="L284" s="25"/>
      <c r="M284" s="25"/>
      <c r="N284" s="25"/>
      <c r="O284" s="25"/>
      <c r="P284" s="25"/>
      <c r="Q284" s="25">
        <f>6973.07+646.77</f>
        <v>7619.84</v>
      </c>
      <c r="R284" s="25">
        <v>10259.299999999999</v>
      </c>
      <c r="S284" s="25">
        <f>1052.83+4385.54</f>
        <v>5438.37</v>
      </c>
      <c r="T284" s="25">
        <f>496.107+495.919</f>
        <v>992.02600000000007</v>
      </c>
      <c r="U284" s="25">
        <v>244.43700000000001</v>
      </c>
      <c r="V284" s="26">
        <f>432.77+1108.74</f>
        <v>1541.51</v>
      </c>
      <c r="W284" s="25">
        <v>51138.48</v>
      </c>
      <c r="X284" s="25"/>
    </row>
    <row r="285" spans="1:24" ht="15.75" customHeight="1" x14ac:dyDescent="0.35">
      <c r="A285" s="11" t="s">
        <v>141</v>
      </c>
      <c r="B285" s="23">
        <v>157402.92000000001</v>
      </c>
      <c r="C285" s="25">
        <f t="shared" si="4"/>
        <v>130578.57</v>
      </c>
      <c r="D285" s="25"/>
      <c r="E285" s="25"/>
      <c r="F285" s="25"/>
      <c r="G285" s="25">
        <v>102391.71</v>
      </c>
      <c r="H285" s="25"/>
      <c r="I285" s="25"/>
      <c r="J285" s="25">
        <f>462.3+321+5314.2</f>
        <v>6097.5</v>
      </c>
      <c r="K285" s="25"/>
      <c r="L285" s="25"/>
      <c r="M285" s="25"/>
      <c r="N285" s="25"/>
      <c r="O285" s="25"/>
      <c r="P285" s="25"/>
      <c r="Q285" s="25">
        <f>646.77+2840.26+11682.8</f>
        <v>15169.83</v>
      </c>
      <c r="R285" s="25"/>
      <c r="S285" s="25">
        <f>4385.54+1018</f>
        <v>5403.54</v>
      </c>
      <c r="T285" s="25">
        <v>1083.22</v>
      </c>
      <c r="U285" s="25"/>
      <c r="V285" s="26">
        <v>432.77</v>
      </c>
      <c r="W285" s="25"/>
      <c r="X285" s="25"/>
    </row>
    <row r="286" spans="1:24" s="7" customFormat="1" ht="15.75" customHeight="1" x14ac:dyDescent="0.35">
      <c r="A286" s="11" t="s">
        <v>142</v>
      </c>
      <c r="B286" s="23">
        <v>92415.360000000001</v>
      </c>
      <c r="C286" s="25">
        <f t="shared" si="4"/>
        <v>51014.060000000005</v>
      </c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>
        <v>13297.7</v>
      </c>
      <c r="T286" s="25"/>
      <c r="U286" s="25">
        <f>11311.5+10096.4</f>
        <v>21407.9</v>
      </c>
      <c r="V286" s="26">
        <f>5543.72+10764.74</f>
        <v>16308.46</v>
      </c>
      <c r="W286" s="25"/>
      <c r="X286" s="25"/>
    </row>
    <row r="287" spans="1:24" s="7" customFormat="1" ht="15.75" customHeight="1" x14ac:dyDescent="0.35">
      <c r="A287" s="11" t="s">
        <v>143</v>
      </c>
      <c r="B287" s="23">
        <v>160154.51999999999</v>
      </c>
      <c r="C287" s="25">
        <f t="shared" si="4"/>
        <v>152897.13</v>
      </c>
      <c r="D287" s="25"/>
      <c r="E287" s="25"/>
      <c r="F287" s="25"/>
      <c r="G287" s="25">
        <v>40831</v>
      </c>
      <c r="H287" s="25">
        <v>85441</v>
      </c>
      <c r="I287" s="25"/>
      <c r="J287" s="25">
        <v>2332.52</v>
      </c>
      <c r="K287" s="25"/>
      <c r="L287" s="25">
        <v>1356</v>
      </c>
      <c r="M287" s="25"/>
      <c r="N287" s="25"/>
      <c r="O287" s="25"/>
      <c r="P287" s="25"/>
      <c r="Q287" s="25"/>
      <c r="R287" s="25"/>
      <c r="S287" s="25"/>
      <c r="T287" s="25">
        <v>17495</v>
      </c>
      <c r="U287" s="25">
        <f>442.62+1476.99+561</f>
        <v>2480.61</v>
      </c>
      <c r="V287" s="26">
        <v>2961</v>
      </c>
      <c r="W287" s="25"/>
      <c r="X287" s="25"/>
    </row>
    <row r="288" spans="1:24" s="7" customFormat="1" ht="15.75" customHeight="1" x14ac:dyDescent="0.35">
      <c r="A288" s="11" t="s">
        <v>144</v>
      </c>
      <c r="B288" s="23">
        <v>63841.68</v>
      </c>
      <c r="C288" s="25">
        <f t="shared" si="4"/>
        <v>167929.16699999999</v>
      </c>
      <c r="D288" s="25"/>
      <c r="E288" s="25"/>
      <c r="F288" s="25"/>
      <c r="G288" s="25"/>
      <c r="H288" s="25"/>
      <c r="I288" s="25"/>
      <c r="J288" s="25"/>
      <c r="K288" s="25">
        <f>376.48+367.11</f>
        <v>743.59</v>
      </c>
      <c r="L288" s="25"/>
      <c r="M288" s="25"/>
      <c r="N288" s="25">
        <f>442+1389.18</f>
        <v>1831.18</v>
      </c>
      <c r="O288" s="25"/>
      <c r="P288" s="25"/>
      <c r="Q288" s="25">
        <f>9838.557+4244</f>
        <v>14082.557000000001</v>
      </c>
      <c r="R288" s="25"/>
      <c r="S288" s="25">
        <f>3113.25+1894</f>
        <v>5007.25</v>
      </c>
      <c r="T288" s="25"/>
      <c r="U288" s="25"/>
      <c r="V288" s="26"/>
      <c r="W288" s="25"/>
      <c r="X288" s="25">
        <v>146264.59</v>
      </c>
    </row>
    <row r="289" spans="1:24" ht="15.75" customHeight="1" x14ac:dyDescent="0.35">
      <c r="A289" s="11" t="s">
        <v>145</v>
      </c>
      <c r="B289" s="23">
        <v>184020.72</v>
      </c>
      <c r="C289" s="25">
        <f t="shared" si="4"/>
        <v>6696.64</v>
      </c>
      <c r="D289" s="25">
        <v>4912.6400000000003</v>
      </c>
      <c r="E289" s="25"/>
      <c r="F289" s="25"/>
      <c r="G289" s="25"/>
      <c r="H289" s="25"/>
      <c r="I289" s="25"/>
      <c r="J289" s="25"/>
      <c r="K289" s="25"/>
      <c r="L289" s="25">
        <v>1784</v>
      </c>
      <c r="M289" s="25"/>
      <c r="N289" s="25"/>
      <c r="O289" s="25"/>
      <c r="P289" s="25"/>
      <c r="Q289" s="25"/>
      <c r="R289" s="25"/>
      <c r="S289" s="25"/>
      <c r="T289" s="25"/>
      <c r="U289" s="25"/>
      <c r="V289" s="26"/>
      <c r="W289" s="25"/>
      <c r="X289" s="25"/>
    </row>
    <row r="290" spans="1:24" ht="15.75" customHeight="1" x14ac:dyDescent="0.35">
      <c r="A290" s="11" t="s">
        <v>146</v>
      </c>
      <c r="B290" s="23">
        <v>187062.36</v>
      </c>
      <c r="C290" s="25">
        <f t="shared" si="4"/>
        <v>10201.77</v>
      </c>
      <c r="D290" s="25"/>
      <c r="E290" s="25"/>
      <c r="F290" s="25"/>
      <c r="G290" s="25"/>
      <c r="H290" s="25"/>
      <c r="I290" s="25"/>
      <c r="J290" s="25">
        <v>4708.7700000000004</v>
      </c>
      <c r="K290" s="25">
        <v>301</v>
      </c>
      <c r="L290" s="25"/>
      <c r="M290" s="25"/>
      <c r="N290" s="25"/>
      <c r="O290" s="25"/>
      <c r="P290" s="25"/>
      <c r="Q290" s="25"/>
      <c r="R290" s="25"/>
      <c r="S290" s="25"/>
      <c r="T290" s="25">
        <v>1297</v>
      </c>
      <c r="U290" s="25">
        <v>2908</v>
      </c>
      <c r="V290" s="26">
        <v>987</v>
      </c>
      <c r="W290" s="25"/>
      <c r="X290" s="25"/>
    </row>
    <row r="291" spans="1:24" ht="15.75" customHeight="1" x14ac:dyDescent="0.35">
      <c r="A291" s="11" t="s">
        <v>147</v>
      </c>
      <c r="B291" s="23">
        <v>197661.96</v>
      </c>
      <c r="C291" s="25">
        <f t="shared" si="4"/>
        <v>38238.43</v>
      </c>
      <c r="D291" s="25"/>
      <c r="E291" s="25"/>
      <c r="F291" s="25"/>
      <c r="G291" s="25"/>
      <c r="H291" s="25"/>
      <c r="I291" s="25"/>
      <c r="J291" s="25"/>
      <c r="K291" s="25">
        <v>367</v>
      </c>
      <c r="L291" s="25">
        <v>4667.8100000000004</v>
      </c>
      <c r="M291" s="25">
        <v>3201.15</v>
      </c>
      <c r="N291" s="25"/>
      <c r="O291" s="25"/>
      <c r="P291" s="25"/>
      <c r="Q291" s="25">
        <v>10324</v>
      </c>
      <c r="R291" s="25"/>
      <c r="S291" s="25"/>
      <c r="T291" s="25"/>
      <c r="U291" s="25">
        <f>3201+442.62+17262</f>
        <v>20905.62</v>
      </c>
      <c r="V291" s="26">
        <v>1974</v>
      </c>
      <c r="W291" s="25"/>
      <c r="X291" s="25"/>
    </row>
    <row r="292" spans="1:24" ht="15.75" customHeight="1" x14ac:dyDescent="0.35">
      <c r="A292" s="11" t="s">
        <v>148</v>
      </c>
      <c r="B292" s="23">
        <v>67026.59</v>
      </c>
      <c r="C292" s="25">
        <f t="shared" si="4"/>
        <v>0</v>
      </c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6"/>
      <c r="W292" s="25"/>
      <c r="X292" s="25"/>
    </row>
    <row r="293" spans="1:24" ht="15.75" customHeight="1" x14ac:dyDescent="0.35">
      <c r="A293" s="11" t="s">
        <v>3</v>
      </c>
      <c r="B293" s="23">
        <v>98259.05</v>
      </c>
      <c r="C293" s="25">
        <f t="shared" si="4"/>
        <v>146961</v>
      </c>
      <c r="D293" s="25"/>
      <c r="E293" s="25"/>
      <c r="F293" s="25">
        <v>137000</v>
      </c>
      <c r="G293" s="25"/>
      <c r="H293" s="25"/>
      <c r="I293" s="25"/>
      <c r="J293" s="25">
        <v>1575</v>
      </c>
      <c r="K293" s="25"/>
      <c r="L293" s="25"/>
      <c r="M293" s="25"/>
      <c r="N293" s="25"/>
      <c r="O293" s="25"/>
      <c r="P293" s="25"/>
      <c r="Q293" s="25">
        <v>5338</v>
      </c>
      <c r="R293" s="25"/>
      <c r="S293" s="25">
        <v>3048</v>
      </c>
      <c r="T293" s="25"/>
      <c r="U293" s="25"/>
      <c r="V293" s="26"/>
      <c r="W293" s="25"/>
      <c r="X293" s="25"/>
    </row>
    <row r="294" spans="1:24" ht="15.75" customHeight="1" x14ac:dyDescent="0.35">
      <c r="A294" s="11" t="s">
        <v>284</v>
      </c>
      <c r="B294" s="23">
        <v>180480.86</v>
      </c>
      <c r="C294" s="25">
        <f t="shared" si="4"/>
        <v>4382.78</v>
      </c>
      <c r="D294" s="25"/>
      <c r="E294" s="25"/>
      <c r="F294" s="25"/>
      <c r="G294" s="25"/>
      <c r="H294" s="25"/>
      <c r="I294" s="25"/>
      <c r="J294" s="25">
        <v>3496</v>
      </c>
      <c r="K294" s="25"/>
      <c r="L294" s="25"/>
      <c r="M294" s="25"/>
      <c r="N294" s="25"/>
      <c r="O294" s="25"/>
      <c r="P294" s="25"/>
      <c r="Q294" s="25"/>
      <c r="R294" s="25"/>
      <c r="S294" s="25"/>
      <c r="T294" s="25">
        <v>327</v>
      </c>
      <c r="U294" s="25">
        <v>559.78</v>
      </c>
      <c r="V294" s="26"/>
      <c r="W294" s="25"/>
      <c r="X294" s="25"/>
    </row>
    <row r="295" spans="1:24" s="7" customFormat="1" ht="15.75" customHeight="1" x14ac:dyDescent="0.35">
      <c r="A295" s="10" t="s">
        <v>288</v>
      </c>
      <c r="B295" s="23">
        <v>411580.68</v>
      </c>
      <c r="C295" s="25">
        <f t="shared" si="4"/>
        <v>317067.82000000007</v>
      </c>
      <c r="D295" s="25">
        <v>50036.91</v>
      </c>
      <c r="E295" s="25"/>
      <c r="G295" s="25">
        <f>10261+63619.6</f>
        <v>73880.600000000006</v>
      </c>
      <c r="H295" s="25"/>
      <c r="I295" s="25"/>
      <c r="J295" s="25">
        <f>2823.7+1651.82</f>
        <v>4475.5199999999995</v>
      </c>
      <c r="K295" s="25"/>
      <c r="L295" s="25">
        <v>4992</v>
      </c>
      <c r="M295" s="25">
        <v>29829.7</v>
      </c>
      <c r="N295" s="25"/>
      <c r="O295" s="25">
        <v>5780.91</v>
      </c>
      <c r="P295" s="25"/>
      <c r="Q295" s="25"/>
      <c r="R295" s="25"/>
      <c r="S295" s="25">
        <f>35587.53+1285.78</f>
        <v>36873.31</v>
      </c>
      <c r="T295" s="25">
        <f>1035.34+23572.23+58</f>
        <v>24665.57</v>
      </c>
      <c r="U295" s="25">
        <f>115241+1122</f>
        <v>116363</v>
      </c>
      <c r="V295" s="26"/>
      <c r="W295" s="25"/>
      <c r="X295" s="25"/>
    </row>
    <row r="296" spans="1:24" ht="15.75" customHeight="1" x14ac:dyDescent="0.35">
      <c r="A296" s="10" t="s">
        <v>287</v>
      </c>
      <c r="B296" s="23">
        <v>607288.80000000005</v>
      </c>
      <c r="C296" s="25">
        <f t="shared" si="4"/>
        <v>93567.98</v>
      </c>
      <c r="D296" s="25">
        <v>4420</v>
      </c>
      <c r="E296" s="25">
        <v>70000</v>
      </c>
      <c r="F296" s="25"/>
      <c r="G296" s="25"/>
      <c r="H296" s="25"/>
      <c r="I296" s="25"/>
      <c r="J296" s="25">
        <v>2680.98</v>
      </c>
      <c r="K296" s="25"/>
      <c r="L296" s="25">
        <v>3158</v>
      </c>
      <c r="M296" s="25"/>
      <c r="N296" s="25"/>
      <c r="O296" s="25"/>
      <c r="P296" s="25"/>
      <c r="Q296" s="25">
        <v>1403</v>
      </c>
      <c r="R296" s="25"/>
      <c r="S296" s="25"/>
      <c r="T296" s="25">
        <v>11345</v>
      </c>
      <c r="U296" s="25">
        <v>561</v>
      </c>
      <c r="V296" s="26"/>
      <c r="W296" s="25"/>
      <c r="X296" s="25"/>
    </row>
    <row r="297" spans="1:24" s="7" customFormat="1" ht="15.75" customHeight="1" x14ac:dyDescent="0.35">
      <c r="A297" s="10" t="s">
        <v>286</v>
      </c>
      <c r="B297" s="23">
        <v>112730.26</v>
      </c>
      <c r="C297" s="25">
        <f t="shared" si="4"/>
        <v>3805.9</v>
      </c>
      <c r="D297" s="25"/>
      <c r="E297" s="25"/>
      <c r="F297" s="25"/>
      <c r="G297" s="25"/>
      <c r="H297" s="25"/>
      <c r="I297" s="25"/>
      <c r="J297" s="25">
        <f>1197.94+356</f>
        <v>1553.94</v>
      </c>
      <c r="K297" s="25">
        <f>376.48+376.48+678</f>
        <v>1430.96</v>
      </c>
      <c r="L297" s="25">
        <v>821</v>
      </c>
      <c r="M297" s="25"/>
      <c r="N297" s="25"/>
      <c r="O297" s="25"/>
      <c r="P297" s="25"/>
      <c r="Q297" s="25"/>
      <c r="R297" s="25"/>
      <c r="S297" s="25"/>
      <c r="T297" s="25"/>
      <c r="U297" s="25"/>
      <c r="V297" s="26"/>
      <c r="W297" s="25"/>
      <c r="X297" s="25"/>
    </row>
    <row r="298" spans="1:24" ht="15.75" customHeight="1" x14ac:dyDescent="0.35">
      <c r="A298" s="10" t="s">
        <v>285</v>
      </c>
      <c r="B298" s="23">
        <v>146580.84</v>
      </c>
      <c r="C298" s="25">
        <f t="shared" si="4"/>
        <v>8312.4</v>
      </c>
      <c r="D298" s="25"/>
      <c r="E298" s="25"/>
      <c r="F298" s="25"/>
      <c r="G298" s="25"/>
      <c r="H298" s="25"/>
      <c r="I298" s="25"/>
      <c r="J298" s="25">
        <f>1197.78+1575+512+1197.94</f>
        <v>4482.7199999999993</v>
      </c>
      <c r="K298" s="25"/>
      <c r="L298" s="25"/>
      <c r="M298" s="25"/>
      <c r="N298" s="25"/>
      <c r="O298" s="25">
        <v>2721.66</v>
      </c>
      <c r="P298" s="25"/>
      <c r="Q298" s="25">
        <v>1108.02</v>
      </c>
      <c r="R298" s="25"/>
      <c r="S298" s="25"/>
      <c r="T298" s="25"/>
      <c r="U298" s="25"/>
      <c r="V298" s="26"/>
      <c r="W298" s="25"/>
      <c r="X298" s="25"/>
    </row>
    <row r="299" spans="1:24" s="7" customFormat="1" ht="15.75" customHeight="1" x14ac:dyDescent="0.35">
      <c r="A299" s="10" t="s">
        <v>150</v>
      </c>
      <c r="B299" s="23">
        <v>88156.27</v>
      </c>
      <c r="C299" s="25">
        <f t="shared" si="4"/>
        <v>179847.1</v>
      </c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>
        <f>5781.43+5118</f>
        <v>10899.43</v>
      </c>
      <c r="P299" s="25"/>
      <c r="Q299" s="25">
        <v>4505.88</v>
      </c>
      <c r="R299" s="25"/>
      <c r="S299" s="25">
        <v>2022.6</v>
      </c>
      <c r="T299" s="25"/>
      <c r="U299" s="25"/>
      <c r="V299" s="26"/>
      <c r="W299" s="25"/>
      <c r="X299" s="25">
        <v>162419.19</v>
      </c>
    </row>
    <row r="300" spans="1:24" ht="15.75" customHeight="1" x14ac:dyDescent="0.35">
      <c r="A300" s="10" t="s">
        <v>151</v>
      </c>
      <c r="B300" s="23">
        <v>168131.72</v>
      </c>
      <c r="C300" s="25">
        <f t="shared" si="4"/>
        <v>121340.14300000001</v>
      </c>
      <c r="D300" s="25"/>
      <c r="E300" s="25"/>
      <c r="F300" s="25"/>
      <c r="G300" s="25">
        <f>31408.2+328.87+1884.51</f>
        <v>33621.58</v>
      </c>
      <c r="H300" s="25"/>
      <c r="I300" s="25"/>
      <c r="J300" s="25">
        <v>2137.5</v>
      </c>
      <c r="K300" s="25"/>
      <c r="L300" s="25"/>
      <c r="M300" s="25"/>
      <c r="N300" s="25"/>
      <c r="O300" s="25">
        <v>3812.9929999999999</v>
      </c>
      <c r="P300" s="25"/>
      <c r="Q300" s="25"/>
      <c r="R300" s="25"/>
      <c r="S300" s="25">
        <f>474.63+1253</f>
        <v>1727.63</v>
      </c>
      <c r="T300" s="25">
        <v>228</v>
      </c>
      <c r="U300" s="25"/>
      <c r="V300" s="26"/>
      <c r="W300" s="25"/>
      <c r="X300" s="25">
        <v>79812.44</v>
      </c>
    </row>
    <row r="301" spans="1:24" s="46" customFormat="1" ht="15.75" customHeight="1" x14ac:dyDescent="0.35">
      <c r="A301" s="10" t="s">
        <v>152</v>
      </c>
      <c r="B301" s="23">
        <v>113641.74</v>
      </c>
      <c r="C301" s="25">
        <f t="shared" si="4"/>
        <v>17553.760000000002</v>
      </c>
      <c r="D301" s="25"/>
      <c r="E301" s="25"/>
      <c r="F301" s="25"/>
      <c r="G301" s="25">
        <f>6909.87+7677.69</f>
        <v>14587.56</v>
      </c>
      <c r="H301" s="25"/>
      <c r="I301" s="25"/>
      <c r="J301" s="25">
        <v>1024.25</v>
      </c>
      <c r="K301" s="25">
        <v>752.95</v>
      </c>
      <c r="L301" s="25">
        <v>1189</v>
      </c>
      <c r="M301" s="25"/>
      <c r="N301" s="25"/>
      <c r="O301" s="25"/>
      <c r="P301" s="25"/>
      <c r="Q301" s="25"/>
      <c r="R301" s="25"/>
      <c r="S301" s="25"/>
      <c r="T301" s="25"/>
      <c r="U301" s="25"/>
      <c r="V301" s="26"/>
      <c r="W301" s="25"/>
      <c r="X301" s="25"/>
    </row>
    <row r="302" spans="1:24" s="7" customFormat="1" ht="15.75" customHeight="1" x14ac:dyDescent="0.35">
      <c r="A302" s="10" t="s">
        <v>153</v>
      </c>
      <c r="B302" s="23">
        <v>108137.8</v>
      </c>
      <c r="C302" s="25">
        <f t="shared" si="4"/>
        <v>95839.17</v>
      </c>
      <c r="D302" s="25"/>
      <c r="E302" s="25"/>
      <c r="F302" s="25"/>
      <c r="G302" s="25">
        <v>4397.1899999999996</v>
      </c>
      <c r="H302" s="25"/>
      <c r="I302" s="25"/>
      <c r="J302" s="25"/>
      <c r="K302" s="25"/>
      <c r="L302" s="25">
        <v>1784</v>
      </c>
      <c r="M302" s="25"/>
      <c r="N302" s="25"/>
      <c r="O302" s="25"/>
      <c r="P302" s="25"/>
      <c r="Q302" s="25"/>
      <c r="R302" s="25"/>
      <c r="S302" s="25"/>
      <c r="T302" s="25">
        <v>11457</v>
      </c>
      <c r="U302" s="25">
        <v>8885.6200000000008</v>
      </c>
      <c r="V302" s="26">
        <v>4434.9799999999996</v>
      </c>
      <c r="W302" s="25"/>
      <c r="X302" s="25">
        <v>64880.38</v>
      </c>
    </row>
    <row r="303" spans="1:24" s="7" customFormat="1" ht="15.75" customHeight="1" x14ac:dyDescent="0.35">
      <c r="A303" s="10" t="s">
        <v>154</v>
      </c>
      <c r="B303" s="23">
        <v>173051.64</v>
      </c>
      <c r="C303" s="25">
        <f t="shared" si="4"/>
        <v>40271.68</v>
      </c>
      <c r="D303" s="25"/>
      <c r="E303" s="25"/>
      <c r="F303" s="25"/>
      <c r="G303" s="25">
        <v>15704.25</v>
      </c>
      <c r="H303" s="25"/>
      <c r="I303" s="25"/>
      <c r="J303" s="25">
        <v>2217</v>
      </c>
      <c r="K303" s="25"/>
      <c r="L303" s="25">
        <f>9303.73+5996</f>
        <v>15299.73</v>
      </c>
      <c r="M303" s="25"/>
      <c r="N303" s="25"/>
      <c r="O303" s="25">
        <v>251.33</v>
      </c>
      <c r="P303" s="25"/>
      <c r="Q303" s="25">
        <v>2899</v>
      </c>
      <c r="R303" s="25"/>
      <c r="S303" s="25">
        <v>2437.37</v>
      </c>
      <c r="T303" s="25">
        <v>1463</v>
      </c>
      <c r="U303" s="25"/>
      <c r="V303" s="26"/>
      <c r="W303" s="25"/>
      <c r="X303" s="25"/>
    </row>
    <row r="304" spans="1:24" s="7" customFormat="1" ht="15.75" customHeight="1" x14ac:dyDescent="0.35">
      <c r="A304" s="10" t="s">
        <v>155</v>
      </c>
      <c r="B304" s="23">
        <v>173300.58</v>
      </c>
      <c r="C304" s="25">
        <f t="shared" si="4"/>
        <v>222821.52000000002</v>
      </c>
      <c r="D304" s="25"/>
      <c r="E304" s="25"/>
      <c r="F304" s="25"/>
      <c r="G304" s="25">
        <f>50881.77+34549.35</f>
        <v>85431.12</v>
      </c>
      <c r="H304" s="25"/>
      <c r="I304" s="25"/>
      <c r="J304" s="25">
        <v>39479.199999999997</v>
      </c>
      <c r="K304" s="25"/>
      <c r="L304" s="25"/>
      <c r="M304" s="25"/>
      <c r="N304" s="25"/>
      <c r="O304" s="25">
        <v>8081</v>
      </c>
      <c r="P304" s="25"/>
      <c r="Q304" s="25"/>
      <c r="R304" s="25"/>
      <c r="S304" s="25"/>
      <c r="T304" s="25"/>
      <c r="U304" s="25">
        <v>1372.85</v>
      </c>
      <c r="V304" s="26"/>
      <c r="W304" s="25"/>
      <c r="X304" s="25">
        <v>88457.35</v>
      </c>
    </row>
    <row r="305" spans="1:24" s="7" customFormat="1" ht="15.75" customHeight="1" x14ac:dyDescent="0.35">
      <c r="A305" s="10" t="s">
        <v>156</v>
      </c>
      <c r="B305" s="23">
        <v>46421.17</v>
      </c>
      <c r="C305" s="25">
        <f t="shared" si="4"/>
        <v>62154.28</v>
      </c>
      <c r="D305" s="25"/>
      <c r="E305" s="25"/>
      <c r="F305" s="25"/>
      <c r="G305" s="25"/>
      <c r="H305" s="25"/>
      <c r="I305" s="25"/>
      <c r="J305" s="25"/>
      <c r="K305" s="25">
        <v>367</v>
      </c>
      <c r="L305" s="25">
        <v>1795</v>
      </c>
      <c r="M305" s="25"/>
      <c r="N305" s="25"/>
      <c r="O305" s="25"/>
      <c r="P305" s="25"/>
      <c r="Q305" s="25"/>
      <c r="R305" s="25"/>
      <c r="S305" s="25"/>
      <c r="T305" s="25">
        <v>7202.94</v>
      </c>
      <c r="U305" s="25">
        <v>4140.82</v>
      </c>
      <c r="V305" s="26">
        <v>1931.2</v>
      </c>
      <c r="W305" s="25"/>
      <c r="X305" s="25">
        <v>46717.32</v>
      </c>
    </row>
    <row r="306" spans="1:24" s="7" customFormat="1" ht="15.75" customHeight="1" x14ac:dyDescent="0.35">
      <c r="A306" s="10" t="s">
        <v>157</v>
      </c>
      <c r="B306" s="23">
        <v>178386.76</v>
      </c>
      <c r="C306" s="25">
        <f t="shared" si="4"/>
        <v>17394.918000000001</v>
      </c>
      <c r="D306" s="25"/>
      <c r="E306" s="25"/>
      <c r="F306" s="25"/>
      <c r="G306" s="25">
        <v>16458</v>
      </c>
      <c r="H306" s="25"/>
      <c r="I306" s="25"/>
      <c r="J306" s="25"/>
      <c r="K306" s="25">
        <v>376.48</v>
      </c>
      <c r="L306" s="25"/>
      <c r="M306" s="25">
        <f>3841.38+12615.8</f>
        <v>16457.18</v>
      </c>
      <c r="N306" s="25"/>
      <c r="O306" s="25"/>
      <c r="P306" s="25"/>
      <c r="Q306" s="25"/>
      <c r="R306" s="25"/>
      <c r="S306" s="25"/>
      <c r="T306" s="25">
        <v>341.185</v>
      </c>
      <c r="U306" s="25">
        <f>112.253+107</f>
        <v>219.25299999999999</v>
      </c>
      <c r="V306" s="26"/>
      <c r="W306" s="25"/>
      <c r="X306" s="25"/>
    </row>
    <row r="307" spans="1:24" s="7" customFormat="1" ht="15.75" customHeight="1" x14ac:dyDescent="0.35">
      <c r="A307" s="11" t="s">
        <v>158</v>
      </c>
      <c r="B307" s="23">
        <v>251684.85</v>
      </c>
      <c r="C307" s="25">
        <f t="shared" si="4"/>
        <v>173741.59</v>
      </c>
      <c r="D307" s="25"/>
      <c r="E307" s="25"/>
      <c r="F307" s="25"/>
      <c r="G307" s="25"/>
      <c r="H307" s="25"/>
      <c r="I307" s="25"/>
      <c r="J307" s="25"/>
      <c r="K307" s="25">
        <v>601</v>
      </c>
      <c r="L307" s="25">
        <v>5384</v>
      </c>
      <c r="M307" s="25"/>
      <c r="N307" s="25"/>
      <c r="O307" s="25">
        <v>314.16000000000003</v>
      </c>
      <c r="P307" s="25"/>
      <c r="Q307" s="25"/>
      <c r="R307" s="25"/>
      <c r="S307" s="25"/>
      <c r="T307" s="25"/>
      <c r="U307" s="25"/>
      <c r="V307" s="26">
        <f>865.52+9659</f>
        <v>10524.52</v>
      </c>
      <c r="W307" s="25"/>
      <c r="X307" s="25">
        <v>156917.91</v>
      </c>
    </row>
    <row r="308" spans="1:24" ht="15.75" customHeight="1" x14ac:dyDescent="0.35">
      <c r="A308" s="11" t="s">
        <v>159</v>
      </c>
      <c r="B308" s="23">
        <v>584317.80000000005</v>
      </c>
      <c r="C308" s="25">
        <f t="shared" si="4"/>
        <v>44672.525600000001</v>
      </c>
      <c r="D308" s="25"/>
      <c r="E308" s="25"/>
      <c r="F308" s="25"/>
      <c r="G308" s="25"/>
      <c r="H308" s="25"/>
      <c r="I308" s="25"/>
      <c r="J308" s="25">
        <f>3796.97+5100.87+6632.99+1125.72</f>
        <v>16656.55</v>
      </c>
      <c r="K308" s="25">
        <f>367.11+302</f>
        <v>669.11</v>
      </c>
      <c r="L308" s="25"/>
      <c r="M308" s="25"/>
      <c r="N308" s="25">
        <v>17232.4486</v>
      </c>
      <c r="O308" s="25"/>
      <c r="P308" s="25"/>
      <c r="Q308" s="25">
        <v>5592</v>
      </c>
      <c r="R308" s="25"/>
      <c r="S308" s="25"/>
      <c r="T308" s="25">
        <f>811.864+2768.76</f>
        <v>3580.6240000000003</v>
      </c>
      <c r="U308" s="25">
        <v>509.02800000000002</v>
      </c>
      <c r="V308" s="26">
        <v>432.76499999999999</v>
      </c>
      <c r="W308" s="25"/>
      <c r="X308" s="25"/>
    </row>
    <row r="309" spans="1:24" s="9" customFormat="1" ht="15.5" x14ac:dyDescent="0.35">
      <c r="A309" s="40" t="s">
        <v>160</v>
      </c>
      <c r="B309" s="41">
        <v>750518.88</v>
      </c>
      <c r="C309" s="25">
        <f t="shared" si="4"/>
        <v>70019.804000000004</v>
      </c>
      <c r="D309" s="31"/>
      <c r="E309" s="31"/>
      <c r="F309" s="31"/>
      <c r="G309" s="31">
        <v>1090.43</v>
      </c>
      <c r="H309" s="31"/>
      <c r="I309" s="31"/>
      <c r="J309" s="31"/>
      <c r="K309" s="31">
        <f>377.479+367+302+272.24</f>
        <v>1318.7190000000001</v>
      </c>
      <c r="L309" s="31">
        <v>3589.98</v>
      </c>
      <c r="M309" s="31"/>
      <c r="N309" s="31">
        <v>2158.2199999999998</v>
      </c>
      <c r="O309" s="31"/>
      <c r="P309" s="31"/>
      <c r="Q309" s="31">
        <f>2037.79+25370</f>
        <v>27407.79</v>
      </c>
      <c r="R309" s="31"/>
      <c r="S309" s="31">
        <v>8193</v>
      </c>
      <c r="T309" s="31">
        <f>4059.33+6595.86</f>
        <v>10655.189999999999</v>
      </c>
      <c r="U309" s="31">
        <f>2802.75+11938.19</f>
        <v>14740.94</v>
      </c>
      <c r="V309" s="32">
        <f>432.77+432.765</f>
        <v>865.53499999999997</v>
      </c>
      <c r="W309" s="31"/>
      <c r="X309" s="31"/>
    </row>
    <row r="310" spans="1:24" ht="15.75" customHeight="1" x14ac:dyDescent="0.35">
      <c r="A310" s="10" t="s">
        <v>161</v>
      </c>
      <c r="B310" s="23">
        <v>64770.54</v>
      </c>
      <c r="C310" s="25">
        <f t="shared" si="4"/>
        <v>46955.88</v>
      </c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>
        <v>1723</v>
      </c>
      <c r="R310" s="25"/>
      <c r="S310" s="25"/>
      <c r="T310" s="25"/>
      <c r="U310" s="25"/>
      <c r="V310" s="26"/>
      <c r="W310" s="25"/>
      <c r="X310" s="25">
        <v>45232.88</v>
      </c>
    </row>
    <row r="311" spans="1:24" s="7" customFormat="1" ht="15.75" customHeight="1" x14ac:dyDescent="0.35">
      <c r="A311" s="10" t="s">
        <v>162</v>
      </c>
      <c r="B311" s="23">
        <v>162377.76</v>
      </c>
      <c r="C311" s="25">
        <f t="shared" si="4"/>
        <v>79692.19</v>
      </c>
      <c r="D311" s="25"/>
      <c r="E311" s="25"/>
      <c r="F311" s="25"/>
      <c r="G311" s="25"/>
      <c r="H311" s="25"/>
      <c r="I311" s="25"/>
      <c r="J311" s="25"/>
      <c r="K311" s="25">
        <f>376.48+376.48</f>
        <v>752.96</v>
      </c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6"/>
      <c r="W311" s="25"/>
      <c r="X311" s="25">
        <v>78939.23</v>
      </c>
    </row>
    <row r="312" spans="1:24" s="7" customFormat="1" ht="15.75" customHeight="1" x14ac:dyDescent="0.35">
      <c r="A312" s="11" t="s">
        <v>163</v>
      </c>
      <c r="B312" s="23">
        <v>29145.25</v>
      </c>
      <c r="C312" s="25">
        <f t="shared" si="4"/>
        <v>250013.09</v>
      </c>
      <c r="D312" s="25"/>
      <c r="E312" s="25"/>
      <c r="F312" s="25"/>
      <c r="G312" s="25">
        <v>8166</v>
      </c>
      <c r="H312" s="25"/>
      <c r="I312" s="25"/>
      <c r="J312" s="25">
        <v>705.53</v>
      </c>
      <c r="K312" s="25">
        <f>752.95+367</f>
        <v>1119.95</v>
      </c>
      <c r="L312" s="25"/>
      <c r="M312" s="25"/>
      <c r="N312" s="25"/>
      <c r="O312" s="25">
        <v>5387</v>
      </c>
      <c r="P312" s="25"/>
      <c r="Q312" s="25"/>
      <c r="R312" s="25"/>
      <c r="S312" s="25"/>
      <c r="T312" s="25"/>
      <c r="U312" s="25"/>
      <c r="V312" s="26"/>
      <c r="W312" s="25"/>
      <c r="X312" s="25">
        <v>234634.61</v>
      </c>
    </row>
    <row r="313" spans="1:24" s="7" customFormat="1" ht="15.75" customHeight="1" x14ac:dyDescent="0.35">
      <c r="A313" s="10" t="s">
        <v>276</v>
      </c>
      <c r="B313" s="23">
        <v>603106.56000000006</v>
      </c>
      <c r="C313" s="25">
        <f t="shared" si="4"/>
        <v>536469.66339999996</v>
      </c>
      <c r="D313" s="25"/>
      <c r="E313" s="25"/>
      <c r="F313" s="25"/>
      <c r="G313" s="25">
        <f>118096+527.46</f>
        <v>118623.46</v>
      </c>
      <c r="H313" s="25"/>
      <c r="I313" s="25"/>
      <c r="J313" s="25">
        <f>6640.39+7693.16</f>
        <v>14333.55</v>
      </c>
      <c r="K313" s="25"/>
      <c r="L313" s="25">
        <f>1408.16+29034.96</f>
        <v>30443.119999999999</v>
      </c>
      <c r="M313" s="25"/>
      <c r="N313" s="25">
        <v>4450.5234</v>
      </c>
      <c r="O313" s="25"/>
      <c r="P313" s="25"/>
      <c r="Q313" s="25">
        <v>33589</v>
      </c>
      <c r="R313" s="25"/>
      <c r="S313" s="25">
        <v>405.96</v>
      </c>
      <c r="T313" s="25">
        <f>1721.3+32402.8</f>
        <v>34124.1</v>
      </c>
      <c r="U313" s="25">
        <v>548.36</v>
      </c>
      <c r="V313" s="26"/>
      <c r="W313" s="25"/>
      <c r="X313" s="25">
        <v>299951.59000000003</v>
      </c>
    </row>
    <row r="314" spans="1:24" ht="15.75" customHeight="1" x14ac:dyDescent="0.35">
      <c r="A314" s="10" t="s">
        <v>277</v>
      </c>
      <c r="B314" s="23">
        <v>306429.71999999997</v>
      </c>
      <c r="C314" s="25">
        <f t="shared" si="4"/>
        <v>247624.44</v>
      </c>
      <c r="D314" s="25"/>
      <c r="E314" s="25"/>
      <c r="F314" s="25"/>
      <c r="G314" s="25">
        <v>196617.21</v>
      </c>
      <c r="H314" s="25"/>
      <c r="I314" s="25"/>
      <c r="J314" s="25">
        <v>1575</v>
      </c>
      <c r="K314" s="25">
        <v>302</v>
      </c>
      <c r="L314" s="25"/>
      <c r="M314" s="25"/>
      <c r="N314" s="25"/>
      <c r="O314" s="25">
        <v>1250.26</v>
      </c>
      <c r="P314" s="25"/>
      <c r="Q314" s="25">
        <v>47059</v>
      </c>
      <c r="R314" s="25"/>
      <c r="S314" s="25">
        <v>820.97</v>
      </c>
      <c r="T314" s="25"/>
      <c r="U314" s="25"/>
      <c r="V314" s="26"/>
      <c r="W314" s="25"/>
      <c r="X314" s="25"/>
    </row>
    <row r="315" spans="1:24" ht="15.75" customHeight="1" x14ac:dyDescent="0.35">
      <c r="A315" s="10" t="s">
        <v>278</v>
      </c>
      <c r="B315" s="23">
        <v>61891.83</v>
      </c>
      <c r="C315" s="25">
        <f t="shared" si="4"/>
        <v>82115.17</v>
      </c>
      <c r="D315" s="25"/>
      <c r="E315" s="25"/>
      <c r="F315" s="25"/>
      <c r="G315" s="25"/>
      <c r="H315" s="25">
        <v>62955</v>
      </c>
      <c r="I315" s="25"/>
      <c r="J315" s="25">
        <v>1836.72</v>
      </c>
      <c r="K315" s="25"/>
      <c r="L315" s="25">
        <v>16169</v>
      </c>
      <c r="M315" s="25"/>
      <c r="N315" s="25">
        <v>626.44000000000005</v>
      </c>
      <c r="O315" s="25"/>
      <c r="P315" s="25"/>
      <c r="Q315" s="25"/>
      <c r="R315" s="25"/>
      <c r="S315" s="25"/>
      <c r="T315" s="25">
        <v>528.01</v>
      </c>
      <c r="U315" s="25"/>
      <c r="V315" s="26"/>
      <c r="W315" s="25"/>
      <c r="X315" s="25"/>
    </row>
    <row r="316" spans="1:24" ht="15.75" customHeight="1" x14ac:dyDescent="0.35">
      <c r="A316" s="10" t="s">
        <v>279</v>
      </c>
      <c r="B316" s="23">
        <v>24227.27</v>
      </c>
      <c r="C316" s="25">
        <f t="shared" si="4"/>
        <v>35343.49</v>
      </c>
      <c r="D316" s="25"/>
      <c r="E316" s="25"/>
      <c r="F316" s="25"/>
      <c r="G316" s="25"/>
      <c r="H316" s="25"/>
      <c r="I316" s="25"/>
      <c r="J316" s="25">
        <v>2463.66</v>
      </c>
      <c r="K316" s="25"/>
      <c r="L316" s="25">
        <v>5373.35</v>
      </c>
      <c r="M316" s="25"/>
      <c r="N316" s="25"/>
      <c r="O316" s="25"/>
      <c r="P316" s="25"/>
      <c r="Q316" s="25"/>
      <c r="R316" s="25"/>
      <c r="S316" s="25"/>
      <c r="T316" s="25"/>
      <c r="U316" s="25"/>
      <c r="V316" s="26"/>
      <c r="W316" s="25"/>
      <c r="X316" s="25">
        <v>27506.48</v>
      </c>
    </row>
    <row r="317" spans="1:24" s="7" customFormat="1" ht="15.75" customHeight="1" x14ac:dyDescent="0.35">
      <c r="A317" s="10" t="s">
        <v>280</v>
      </c>
      <c r="B317" s="23">
        <v>98758.41</v>
      </c>
      <c r="C317" s="25">
        <f t="shared" si="4"/>
        <v>89806.689999999988</v>
      </c>
      <c r="D317" s="25"/>
      <c r="E317" s="25"/>
      <c r="F317" s="25"/>
      <c r="G317" s="25"/>
      <c r="H317" s="25"/>
      <c r="I317" s="25"/>
      <c r="J317" s="25">
        <v>14695.9</v>
      </c>
      <c r="K317" s="25"/>
      <c r="L317" s="25"/>
      <c r="M317" s="25"/>
      <c r="N317" s="25"/>
      <c r="O317" s="25"/>
      <c r="P317" s="25"/>
      <c r="Q317" s="25"/>
      <c r="R317" s="25"/>
      <c r="S317" s="25">
        <v>625</v>
      </c>
      <c r="T317" s="25"/>
      <c r="U317" s="25"/>
      <c r="V317" s="26"/>
      <c r="W317" s="25"/>
      <c r="X317" s="25">
        <v>74485.789999999994</v>
      </c>
    </row>
    <row r="318" spans="1:24" s="7" customFormat="1" ht="15.75" customHeight="1" x14ac:dyDescent="0.35">
      <c r="A318" s="10" t="s">
        <v>281</v>
      </c>
      <c r="B318" s="23">
        <v>76917.98</v>
      </c>
      <c r="C318" s="25">
        <f t="shared" si="4"/>
        <v>82587.02</v>
      </c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>
        <v>3078.88</v>
      </c>
      <c r="R318" s="25"/>
      <c r="S318" s="25"/>
      <c r="T318" s="25">
        <v>10796.7</v>
      </c>
      <c r="U318" s="25">
        <v>13483.4</v>
      </c>
      <c r="V318" s="26">
        <v>7724.8</v>
      </c>
      <c r="W318" s="25"/>
      <c r="X318" s="25">
        <v>47503.24</v>
      </c>
    </row>
    <row r="319" spans="1:24" s="7" customFormat="1" ht="15.75" customHeight="1" x14ac:dyDescent="0.35">
      <c r="A319" s="10" t="s">
        <v>282</v>
      </c>
      <c r="B319" s="23">
        <v>26302.23</v>
      </c>
      <c r="C319" s="25">
        <f t="shared" si="4"/>
        <v>18874.77</v>
      </c>
      <c r="D319" s="25"/>
      <c r="E319" s="25"/>
      <c r="F319" s="25"/>
      <c r="G319" s="25"/>
      <c r="H319" s="25"/>
      <c r="I319" s="25"/>
      <c r="J319" s="25">
        <f>12246.6+4335.54</f>
        <v>16582.14</v>
      </c>
      <c r="K319" s="25"/>
      <c r="L319" s="25">
        <v>1795</v>
      </c>
      <c r="M319" s="25"/>
      <c r="N319" s="25"/>
      <c r="O319" s="25"/>
      <c r="P319" s="25"/>
      <c r="Q319" s="25"/>
      <c r="R319" s="25"/>
      <c r="S319" s="25"/>
      <c r="T319" s="25"/>
      <c r="U319" s="25">
        <v>497.63</v>
      </c>
      <c r="V319" s="26"/>
      <c r="W319" s="25"/>
      <c r="X319" s="25"/>
    </row>
    <row r="320" spans="1:24" ht="15.75" customHeight="1" x14ac:dyDescent="0.35">
      <c r="A320" s="10" t="s">
        <v>184</v>
      </c>
      <c r="B320" s="23">
        <v>47816.17</v>
      </c>
      <c r="C320" s="25">
        <f t="shared" si="4"/>
        <v>37203.089999999997</v>
      </c>
      <c r="D320" s="25"/>
      <c r="E320" s="25"/>
      <c r="F320" s="25"/>
      <c r="G320" s="25"/>
      <c r="H320" s="25"/>
      <c r="I320" s="25"/>
      <c r="J320" s="25">
        <v>2038</v>
      </c>
      <c r="K320" s="25"/>
      <c r="L320" s="25"/>
      <c r="M320" s="25"/>
      <c r="N320" s="25"/>
      <c r="O320" s="25"/>
      <c r="P320" s="25"/>
      <c r="Q320" s="25">
        <v>423</v>
      </c>
      <c r="R320" s="25">
        <v>4354</v>
      </c>
      <c r="S320" s="25"/>
      <c r="T320" s="25"/>
      <c r="U320" s="25"/>
      <c r="V320" s="26"/>
      <c r="W320" s="25"/>
      <c r="X320" s="25">
        <v>30388.09</v>
      </c>
    </row>
    <row r="321" spans="1:24" s="7" customFormat="1" ht="15.75" customHeight="1" x14ac:dyDescent="0.35">
      <c r="A321" s="10" t="s">
        <v>185</v>
      </c>
      <c r="B321" s="23">
        <v>119132.43</v>
      </c>
      <c r="C321" s="25">
        <f t="shared" si="4"/>
        <v>72361.34</v>
      </c>
      <c r="D321" s="25"/>
      <c r="E321" s="25"/>
      <c r="F321" s="25"/>
      <c r="G321" s="25"/>
      <c r="H321" s="25"/>
      <c r="I321" s="25"/>
      <c r="J321" s="25">
        <v>378.78</v>
      </c>
      <c r="K321" s="25"/>
      <c r="L321" s="25"/>
      <c r="M321" s="25"/>
      <c r="N321" s="25"/>
      <c r="O321" s="25"/>
      <c r="P321" s="25"/>
      <c r="Q321" s="25">
        <f>9028.18+4143.26</f>
        <v>13171.44</v>
      </c>
      <c r="R321" s="25"/>
      <c r="S321" s="25">
        <f>1037.22+345.74</f>
        <v>1382.96</v>
      </c>
      <c r="T321" s="25"/>
      <c r="U321" s="25">
        <v>1018.06</v>
      </c>
      <c r="V321" s="26"/>
      <c r="W321" s="25"/>
      <c r="X321" s="25">
        <v>56410.1</v>
      </c>
    </row>
    <row r="322" spans="1:24" ht="15.75" customHeight="1" x14ac:dyDescent="0.35">
      <c r="A322" s="10" t="s">
        <v>186</v>
      </c>
      <c r="B322" s="23">
        <v>79292.06</v>
      </c>
      <c r="C322" s="25">
        <f t="shared" si="4"/>
        <v>58593.14</v>
      </c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6"/>
      <c r="W322" s="25"/>
      <c r="X322" s="25">
        <v>58593.14</v>
      </c>
    </row>
    <row r="323" spans="1:24" s="7" customFormat="1" ht="15.75" customHeight="1" x14ac:dyDescent="0.35">
      <c r="A323" s="10" t="s">
        <v>187</v>
      </c>
      <c r="B323" s="23">
        <v>81615.83</v>
      </c>
      <c r="C323" s="25">
        <f t="shared" si="4"/>
        <v>49030.009999999995</v>
      </c>
      <c r="D323" s="25"/>
      <c r="E323" s="25"/>
      <c r="F323" s="25"/>
      <c r="G323" s="25">
        <v>527</v>
      </c>
      <c r="H323" s="25"/>
      <c r="I323" s="25"/>
      <c r="J323" s="25"/>
      <c r="K323" s="25"/>
      <c r="L323" s="25"/>
      <c r="M323" s="25"/>
      <c r="N323" s="25">
        <v>912.45</v>
      </c>
      <c r="O323" s="25"/>
      <c r="P323" s="25"/>
      <c r="Q323" s="25"/>
      <c r="R323" s="25"/>
      <c r="S323" s="25"/>
      <c r="T323" s="25"/>
      <c r="U323" s="25"/>
      <c r="V323" s="26"/>
      <c r="W323" s="25"/>
      <c r="X323" s="25">
        <v>47590.559999999998</v>
      </c>
    </row>
    <row r="324" spans="1:24" ht="15.75" customHeight="1" x14ac:dyDescent="0.35">
      <c r="A324" s="10" t="s">
        <v>188</v>
      </c>
      <c r="B324" s="23">
        <v>75866.63</v>
      </c>
      <c r="C324" s="25">
        <f t="shared" si="4"/>
        <v>2774</v>
      </c>
      <c r="D324" s="25"/>
      <c r="E324" s="25"/>
      <c r="F324" s="25"/>
      <c r="G324" s="25"/>
      <c r="H324" s="25"/>
      <c r="I324" s="25"/>
      <c r="J324" s="25">
        <v>2774</v>
      </c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6"/>
      <c r="W324" s="25"/>
      <c r="X324" s="25"/>
    </row>
    <row r="325" spans="1:24" ht="15.75" customHeight="1" x14ac:dyDescent="0.35">
      <c r="A325" s="10" t="s">
        <v>189</v>
      </c>
      <c r="B325" s="23">
        <v>51662.400000000001</v>
      </c>
      <c r="C325" s="25">
        <f t="shared" si="4"/>
        <v>52455.28</v>
      </c>
      <c r="D325" s="25"/>
      <c r="E325" s="25"/>
      <c r="F325" s="25"/>
      <c r="G325" s="25"/>
      <c r="H325" s="25"/>
      <c r="I325" s="25"/>
      <c r="J325" s="25">
        <v>3851</v>
      </c>
      <c r="K325" s="25"/>
      <c r="L325" s="25"/>
      <c r="M325" s="25"/>
      <c r="N325" s="25"/>
      <c r="O325" s="25"/>
      <c r="P325" s="25"/>
      <c r="Q325" s="25"/>
      <c r="R325" s="25"/>
      <c r="S325" s="25"/>
      <c r="T325" s="25">
        <v>2066.35</v>
      </c>
      <c r="U325" s="25">
        <v>6457.04</v>
      </c>
      <c r="V325" s="26"/>
      <c r="W325" s="25"/>
      <c r="X325" s="25">
        <v>40080.89</v>
      </c>
    </row>
    <row r="326" spans="1:24" ht="15.75" customHeight="1" x14ac:dyDescent="0.35">
      <c r="A326" s="10" t="s">
        <v>190</v>
      </c>
      <c r="B326" s="23">
        <v>88256.38</v>
      </c>
      <c r="C326" s="25">
        <f t="shared" si="4"/>
        <v>0</v>
      </c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6"/>
      <c r="W326" s="25"/>
      <c r="X326" s="25"/>
    </row>
    <row r="327" spans="1:24" ht="15.75" customHeight="1" x14ac:dyDescent="0.35">
      <c r="A327" s="10" t="s">
        <v>191</v>
      </c>
      <c r="B327" s="23">
        <v>96977.91</v>
      </c>
      <c r="C327" s="25">
        <f t="shared" si="4"/>
        <v>62212.72</v>
      </c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>
        <v>214</v>
      </c>
      <c r="V327" s="26"/>
      <c r="W327" s="25"/>
      <c r="X327" s="25">
        <v>61998.720000000001</v>
      </c>
    </row>
    <row r="328" spans="1:24" ht="15.75" customHeight="1" x14ac:dyDescent="0.35">
      <c r="A328" s="10" t="s">
        <v>192</v>
      </c>
      <c r="B328" s="23">
        <v>49218.42</v>
      </c>
      <c r="C328" s="25">
        <f t="shared" si="4"/>
        <v>0</v>
      </c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6"/>
      <c r="W328" s="25"/>
      <c r="X328" s="25"/>
    </row>
    <row r="329" spans="1:24" ht="15.75" customHeight="1" x14ac:dyDescent="0.35">
      <c r="A329" s="10" t="s">
        <v>193</v>
      </c>
      <c r="B329" s="23">
        <v>20181.52</v>
      </c>
      <c r="C329" s="25">
        <f t="shared" si="4"/>
        <v>20260.689999999999</v>
      </c>
      <c r="D329" s="25"/>
      <c r="E329" s="25"/>
      <c r="F329" s="25"/>
      <c r="G329" s="25"/>
      <c r="H329" s="25"/>
      <c r="I329" s="25"/>
      <c r="J329" s="25">
        <v>2185</v>
      </c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6"/>
      <c r="W329" s="25"/>
      <c r="X329" s="25">
        <v>18075.689999999999</v>
      </c>
    </row>
    <row r="330" spans="1:24" s="7" customFormat="1" ht="15.75" customHeight="1" x14ac:dyDescent="0.35">
      <c r="A330" s="10" t="s">
        <v>194</v>
      </c>
      <c r="B330" s="23">
        <v>76874.539999999994</v>
      </c>
      <c r="C330" s="25">
        <f t="shared" si="4"/>
        <v>8101.8440000000001</v>
      </c>
      <c r="D330" s="25"/>
      <c r="E330" s="25"/>
      <c r="F330" s="25"/>
      <c r="G330" s="25">
        <v>1818.49</v>
      </c>
      <c r="H330" s="25"/>
      <c r="I330" s="25"/>
      <c r="J330" s="25">
        <v>1608.34</v>
      </c>
      <c r="K330" s="25"/>
      <c r="L330" s="25"/>
      <c r="M330" s="25"/>
      <c r="N330" s="25"/>
      <c r="O330" s="25">
        <v>4579.0140000000001</v>
      </c>
      <c r="P330" s="25"/>
      <c r="Q330" s="25"/>
      <c r="R330" s="25"/>
      <c r="S330" s="25"/>
      <c r="T330" s="25"/>
      <c r="U330" s="25">
        <v>96</v>
      </c>
      <c r="V330" s="26"/>
      <c r="W330" s="25"/>
      <c r="X330" s="25"/>
    </row>
    <row r="331" spans="1:24" s="7" customFormat="1" ht="15.75" customHeight="1" x14ac:dyDescent="0.35">
      <c r="A331" s="10" t="s">
        <v>195</v>
      </c>
      <c r="B331" s="23">
        <v>84029.66</v>
      </c>
      <c r="C331" s="25">
        <f t="shared" si="4"/>
        <v>64095.360000000001</v>
      </c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>
        <v>8492.32</v>
      </c>
      <c r="R331" s="25"/>
      <c r="S331" s="25"/>
      <c r="T331" s="25">
        <v>6528</v>
      </c>
      <c r="U331" s="25"/>
      <c r="V331" s="26"/>
      <c r="W331" s="25"/>
      <c r="X331" s="25">
        <v>49075.040000000001</v>
      </c>
    </row>
    <row r="332" spans="1:24" ht="15.75" customHeight="1" x14ac:dyDescent="0.35">
      <c r="A332" s="10" t="s">
        <v>196</v>
      </c>
      <c r="B332" s="23">
        <v>20661.490000000002</v>
      </c>
      <c r="C332" s="25">
        <f t="shared" si="4"/>
        <v>107</v>
      </c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>
        <v>107</v>
      </c>
      <c r="V332" s="26"/>
      <c r="W332" s="25"/>
      <c r="X332" s="25"/>
    </row>
    <row r="333" spans="1:24" ht="15.75" customHeight="1" x14ac:dyDescent="0.35">
      <c r="A333" s="10" t="s">
        <v>197</v>
      </c>
      <c r="B333" s="23">
        <v>25852.69</v>
      </c>
      <c r="C333" s="25">
        <f t="shared" si="4"/>
        <v>1608</v>
      </c>
      <c r="D333" s="25"/>
      <c r="E333" s="25"/>
      <c r="F333" s="25"/>
      <c r="G333" s="25"/>
      <c r="H333" s="25"/>
      <c r="I333" s="25"/>
      <c r="J333" s="25"/>
      <c r="K333" s="25">
        <v>302</v>
      </c>
      <c r="L333" s="25"/>
      <c r="M333" s="25"/>
      <c r="N333" s="25"/>
      <c r="O333" s="25"/>
      <c r="P333" s="25"/>
      <c r="Q333" s="25">
        <v>960</v>
      </c>
      <c r="R333" s="25"/>
      <c r="S333" s="25">
        <v>346</v>
      </c>
      <c r="T333" s="25"/>
      <c r="U333" s="25"/>
      <c r="V333" s="26"/>
      <c r="W333" s="25"/>
      <c r="X333" s="25"/>
    </row>
    <row r="334" spans="1:24" s="7" customFormat="1" ht="15.75" customHeight="1" x14ac:dyDescent="0.35">
      <c r="A334" s="11" t="s">
        <v>198</v>
      </c>
      <c r="B334" s="33">
        <v>71090.759999999995</v>
      </c>
      <c r="C334" s="25">
        <f t="shared" ref="C334:C383" si="5">D334+E334+G334+H334+I334+J334+K334+L334+N334+O334+P334+Q334+R334+S334+T334+U334+V334+W334+X334+F334</f>
        <v>112216.54</v>
      </c>
      <c r="D334" s="25"/>
      <c r="E334" s="25"/>
      <c r="F334" s="25"/>
      <c r="G334" s="25"/>
      <c r="H334" s="25"/>
      <c r="I334" s="25"/>
      <c r="J334" s="25">
        <v>3736.36</v>
      </c>
      <c r="K334" s="25"/>
      <c r="L334" s="25"/>
      <c r="M334" s="25"/>
      <c r="N334" s="25"/>
      <c r="O334" s="25"/>
      <c r="P334" s="25"/>
      <c r="Q334" s="25">
        <f>16382.5+18684.1</f>
        <v>35066.6</v>
      </c>
      <c r="R334" s="25"/>
      <c r="S334" s="25">
        <v>27449</v>
      </c>
      <c r="T334" s="25"/>
      <c r="U334" s="25"/>
      <c r="V334" s="26">
        <v>1081</v>
      </c>
      <c r="W334" s="25"/>
      <c r="X334" s="25">
        <v>44883.58</v>
      </c>
    </row>
    <row r="335" spans="1:24" ht="15.75" customHeight="1" x14ac:dyDescent="0.35">
      <c r="A335" s="10" t="s">
        <v>199</v>
      </c>
      <c r="B335" s="23">
        <v>74555.31</v>
      </c>
      <c r="C335" s="25">
        <f t="shared" si="5"/>
        <v>3588.5429999999997</v>
      </c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>
        <v>1426</v>
      </c>
      <c r="R335" s="25"/>
      <c r="S335" s="25"/>
      <c r="T335" s="25">
        <v>1263.0999999999999</v>
      </c>
      <c r="U335" s="25">
        <v>899.44299999999998</v>
      </c>
      <c r="V335" s="26"/>
      <c r="W335" s="25"/>
      <c r="X335" s="25"/>
    </row>
    <row r="336" spans="1:24" ht="15.75" customHeight="1" x14ac:dyDescent="0.35">
      <c r="A336" s="10" t="s">
        <v>200</v>
      </c>
      <c r="B336" s="23">
        <v>90779.9</v>
      </c>
      <c r="C336" s="25">
        <f t="shared" si="5"/>
        <v>74721.820000000007</v>
      </c>
      <c r="D336" s="25">
        <v>15697</v>
      </c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6">
        <v>5671</v>
      </c>
      <c r="W336" s="25"/>
      <c r="X336" s="25">
        <v>53353.82</v>
      </c>
    </row>
    <row r="337" spans="1:24" ht="15.75" customHeight="1" x14ac:dyDescent="0.35">
      <c r="A337" s="10" t="s">
        <v>201</v>
      </c>
      <c r="B337" s="23">
        <v>86604.47</v>
      </c>
      <c r="C337" s="25">
        <f t="shared" si="5"/>
        <v>42025.14</v>
      </c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>
        <v>4040</v>
      </c>
      <c r="Q337" s="25"/>
      <c r="R337" s="25"/>
      <c r="S337" s="25"/>
      <c r="T337" s="25"/>
      <c r="U337" s="25"/>
      <c r="V337" s="26"/>
      <c r="W337" s="25"/>
      <c r="X337" s="25">
        <v>37985.14</v>
      </c>
    </row>
    <row r="338" spans="1:24" s="7" customFormat="1" ht="15.75" customHeight="1" x14ac:dyDescent="0.35">
      <c r="A338" s="10" t="s">
        <v>202</v>
      </c>
      <c r="B338" s="23">
        <v>22803.43</v>
      </c>
      <c r="C338" s="25">
        <f t="shared" si="5"/>
        <v>75647.33</v>
      </c>
      <c r="D338" s="25"/>
      <c r="E338" s="25"/>
      <c r="F338" s="25"/>
      <c r="G338" s="25"/>
      <c r="H338" s="25"/>
      <c r="I338" s="25"/>
      <c r="J338" s="25">
        <v>2122.1</v>
      </c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6"/>
      <c r="W338" s="25"/>
      <c r="X338" s="25">
        <v>73525.23</v>
      </c>
    </row>
    <row r="339" spans="1:24" ht="15.75" customHeight="1" x14ac:dyDescent="0.35">
      <c r="A339" s="10" t="s">
        <v>203</v>
      </c>
      <c r="B339" s="23">
        <v>71140.070000000007</v>
      </c>
      <c r="C339" s="25">
        <f t="shared" si="5"/>
        <v>0</v>
      </c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6"/>
      <c r="W339" s="25"/>
      <c r="X339" s="25"/>
    </row>
    <row r="340" spans="1:24" ht="15.75" customHeight="1" x14ac:dyDescent="0.35">
      <c r="A340" s="10" t="s">
        <v>204</v>
      </c>
      <c r="B340" s="23">
        <v>45429.83</v>
      </c>
      <c r="C340" s="25">
        <f t="shared" si="5"/>
        <v>0</v>
      </c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6"/>
      <c r="W340" s="25"/>
      <c r="X340" s="25"/>
    </row>
    <row r="341" spans="1:24" ht="15.75" customHeight="1" x14ac:dyDescent="0.35">
      <c r="A341" s="10" t="s">
        <v>205</v>
      </c>
      <c r="B341" s="23">
        <v>191443.71</v>
      </c>
      <c r="C341" s="25">
        <f t="shared" si="5"/>
        <v>7290.0500000000011</v>
      </c>
      <c r="D341" s="25"/>
      <c r="E341" s="25"/>
      <c r="F341" s="25"/>
      <c r="G341" s="25">
        <f>278.256+688</f>
        <v>966.25599999999997</v>
      </c>
      <c r="H341" s="25"/>
      <c r="I341" s="25"/>
      <c r="J341" s="25"/>
      <c r="K341" s="25">
        <f>367+577.26</f>
        <v>944.26</v>
      </c>
      <c r="L341" s="25"/>
      <c r="M341" s="25"/>
      <c r="N341" s="25"/>
      <c r="O341" s="25"/>
      <c r="P341" s="25"/>
      <c r="Q341" s="25"/>
      <c r="R341" s="25"/>
      <c r="S341" s="25">
        <v>345.74</v>
      </c>
      <c r="T341" s="25">
        <f>1746.13+579.899+2275</f>
        <v>4601.0290000000005</v>
      </c>
      <c r="U341" s="25"/>
      <c r="V341" s="26">
        <v>432.76499999999999</v>
      </c>
      <c r="W341" s="25"/>
      <c r="X341" s="25"/>
    </row>
    <row r="342" spans="1:24" s="7" customFormat="1" ht="15.75" customHeight="1" x14ac:dyDescent="0.35">
      <c r="A342" s="10" t="s">
        <v>206</v>
      </c>
      <c r="B342" s="23">
        <v>28133.89</v>
      </c>
      <c r="C342" s="25">
        <f t="shared" si="5"/>
        <v>114565.4878</v>
      </c>
      <c r="D342" s="25"/>
      <c r="E342" s="25"/>
      <c r="F342" s="25"/>
      <c r="G342" s="25">
        <v>278.25599999999997</v>
      </c>
      <c r="H342" s="25">
        <v>108351</v>
      </c>
      <c r="I342" s="25"/>
      <c r="J342" s="25">
        <v>4133</v>
      </c>
      <c r="K342" s="25"/>
      <c r="L342" s="25"/>
      <c r="M342" s="25"/>
      <c r="N342" s="25">
        <v>1059.6518000000001</v>
      </c>
      <c r="O342" s="25"/>
      <c r="P342" s="25"/>
      <c r="Q342" s="25"/>
      <c r="R342" s="25"/>
      <c r="S342" s="25"/>
      <c r="T342" s="25"/>
      <c r="U342" s="25">
        <v>743.58</v>
      </c>
      <c r="V342" s="26"/>
      <c r="W342" s="25"/>
      <c r="X342" s="25"/>
    </row>
    <row r="343" spans="1:24" ht="15.75" customHeight="1" x14ac:dyDescent="0.35">
      <c r="A343" s="10" t="s">
        <v>207</v>
      </c>
      <c r="B343" s="23">
        <v>130174.04</v>
      </c>
      <c r="C343" s="25">
        <f t="shared" si="5"/>
        <v>75481.47</v>
      </c>
      <c r="D343" s="25"/>
      <c r="E343" s="25"/>
      <c r="F343" s="25"/>
      <c r="G343" s="25"/>
      <c r="H343" s="25"/>
      <c r="I343" s="25"/>
      <c r="J343" s="25">
        <v>3423.23</v>
      </c>
      <c r="K343" s="25"/>
      <c r="L343" s="25"/>
      <c r="M343" s="25"/>
      <c r="N343" s="25"/>
      <c r="O343" s="25"/>
      <c r="P343" s="25"/>
      <c r="Q343" s="25"/>
      <c r="R343" s="25"/>
      <c r="S343" s="25"/>
      <c r="T343" s="25">
        <v>1240</v>
      </c>
      <c r="U343" s="25"/>
      <c r="V343" s="26"/>
      <c r="W343" s="25"/>
      <c r="X343" s="25">
        <v>70818.240000000005</v>
      </c>
    </row>
    <row r="344" spans="1:24" s="7" customFormat="1" ht="15.75" customHeight="1" x14ac:dyDescent="0.35">
      <c r="A344" s="10" t="s">
        <v>208</v>
      </c>
      <c r="B344" s="23">
        <v>61018.51</v>
      </c>
      <c r="C344" s="25">
        <f t="shared" si="5"/>
        <v>43199.13</v>
      </c>
      <c r="D344" s="25"/>
      <c r="E344" s="25"/>
      <c r="F344" s="25"/>
      <c r="G344" s="25"/>
      <c r="H344" s="25"/>
      <c r="I344" s="25"/>
      <c r="J344" s="25">
        <v>3072.73</v>
      </c>
      <c r="K344" s="25"/>
      <c r="L344" s="25"/>
      <c r="M344" s="25"/>
      <c r="N344" s="25"/>
      <c r="O344" s="25"/>
      <c r="P344" s="25"/>
      <c r="Q344" s="25">
        <v>1574.06</v>
      </c>
      <c r="R344" s="25"/>
      <c r="S344" s="25">
        <v>3167.2</v>
      </c>
      <c r="T344" s="25"/>
      <c r="U344" s="25">
        <v>107</v>
      </c>
      <c r="V344" s="26"/>
      <c r="W344" s="25"/>
      <c r="X344" s="25">
        <v>35278.14</v>
      </c>
    </row>
    <row r="345" spans="1:24" ht="15.75" customHeight="1" x14ac:dyDescent="0.35">
      <c r="A345" s="10" t="s">
        <v>209</v>
      </c>
      <c r="B345" s="23">
        <v>66104.320000000007</v>
      </c>
      <c r="C345" s="25">
        <f t="shared" si="5"/>
        <v>16112.82</v>
      </c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>
        <v>10569.1</v>
      </c>
      <c r="V345" s="26">
        <v>5543.72</v>
      </c>
      <c r="W345" s="25"/>
      <c r="X345" s="25"/>
    </row>
    <row r="346" spans="1:24" s="7" customFormat="1" ht="15.75" customHeight="1" x14ac:dyDescent="0.35">
      <c r="A346" s="10" t="s">
        <v>210</v>
      </c>
      <c r="B346" s="23">
        <v>89720.83</v>
      </c>
      <c r="C346" s="25">
        <f t="shared" si="5"/>
        <v>93293.41</v>
      </c>
      <c r="D346" s="25"/>
      <c r="E346" s="25"/>
      <c r="F346" s="25"/>
      <c r="G346" s="25"/>
      <c r="H346" s="25"/>
      <c r="I346" s="25"/>
      <c r="J346" s="25">
        <f>19368.1+57+299.52+2119</f>
        <v>21843.62</v>
      </c>
      <c r="K346" s="25">
        <f>376.48+319.05+366.98</f>
        <v>1062.51</v>
      </c>
      <c r="L346" s="25">
        <v>6653</v>
      </c>
      <c r="M346" s="25"/>
      <c r="N346" s="25"/>
      <c r="O346" s="25"/>
      <c r="P346" s="25"/>
      <c r="Q346" s="25"/>
      <c r="R346" s="25"/>
      <c r="S346" s="25"/>
      <c r="T346" s="25">
        <f>496.5+4208</f>
        <v>4704.5</v>
      </c>
      <c r="U346" s="25"/>
      <c r="V346" s="26"/>
      <c r="W346" s="25"/>
      <c r="X346" s="25">
        <v>59029.78</v>
      </c>
    </row>
    <row r="347" spans="1:24" ht="15.75" customHeight="1" x14ac:dyDescent="0.35">
      <c r="A347" s="10" t="s">
        <v>211</v>
      </c>
      <c r="B347" s="23">
        <v>55465.25</v>
      </c>
      <c r="C347" s="25">
        <f t="shared" si="5"/>
        <v>36554.490000000005</v>
      </c>
      <c r="D347" s="25"/>
      <c r="E347" s="25"/>
      <c r="F347" s="25"/>
      <c r="G347" s="25"/>
      <c r="H347" s="25"/>
      <c r="I347" s="25"/>
      <c r="J347" s="25"/>
      <c r="K347" s="25">
        <v>1552</v>
      </c>
      <c r="L347" s="25">
        <v>4789</v>
      </c>
      <c r="M347" s="25"/>
      <c r="N347" s="25"/>
      <c r="O347" s="25"/>
      <c r="P347" s="25"/>
      <c r="Q347" s="25"/>
      <c r="R347" s="25"/>
      <c r="S347" s="25"/>
      <c r="T347" s="25"/>
      <c r="U347" s="25"/>
      <c r="V347" s="26"/>
      <c r="W347" s="25"/>
      <c r="X347" s="25">
        <v>30213.49</v>
      </c>
    </row>
    <row r="348" spans="1:24" s="9" customFormat="1" ht="15.75" customHeight="1" x14ac:dyDescent="0.35">
      <c r="A348" s="45" t="s">
        <v>212</v>
      </c>
      <c r="B348" s="41">
        <v>108266.75</v>
      </c>
      <c r="C348" s="25">
        <f t="shared" si="5"/>
        <v>72488.659999999989</v>
      </c>
      <c r="D348" s="31"/>
      <c r="E348" s="31"/>
      <c r="F348" s="31"/>
      <c r="G348" s="31">
        <v>2082.81</v>
      </c>
      <c r="H348" s="31"/>
      <c r="I348" s="31"/>
      <c r="J348" s="31"/>
      <c r="K348" s="31">
        <f>752.95+776</f>
        <v>1528.95</v>
      </c>
      <c r="L348" s="31"/>
      <c r="M348" s="31"/>
      <c r="N348" s="31"/>
      <c r="O348" s="31"/>
      <c r="P348" s="31"/>
      <c r="Q348" s="31"/>
      <c r="R348" s="31"/>
      <c r="S348" s="31"/>
      <c r="T348" s="31"/>
      <c r="U348" s="31">
        <v>591</v>
      </c>
      <c r="V348" s="32"/>
      <c r="W348" s="31"/>
      <c r="X348" s="31">
        <v>68285.899999999994</v>
      </c>
    </row>
    <row r="349" spans="1:24" s="7" customFormat="1" ht="15.75" customHeight="1" x14ac:dyDescent="0.35">
      <c r="A349" s="10" t="s">
        <v>213</v>
      </c>
      <c r="B349" s="23">
        <v>46610.16</v>
      </c>
      <c r="C349" s="25">
        <f t="shared" si="5"/>
        <v>44802.976999999999</v>
      </c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>
        <v>26249.48</v>
      </c>
      <c r="R349" s="25"/>
      <c r="S349" s="25"/>
      <c r="T349" s="25">
        <f>347.947+16840</f>
        <v>17187.947</v>
      </c>
      <c r="U349" s="25">
        <f>1258.55+107</f>
        <v>1365.55</v>
      </c>
      <c r="V349" s="26"/>
      <c r="W349" s="25"/>
      <c r="X349" s="25"/>
    </row>
    <row r="350" spans="1:24" ht="15.75" customHeight="1" x14ac:dyDescent="0.35">
      <c r="A350" s="10" t="s">
        <v>214</v>
      </c>
      <c r="B350" s="23">
        <v>113722.22</v>
      </c>
      <c r="C350" s="25">
        <f t="shared" si="5"/>
        <v>69797.53</v>
      </c>
      <c r="D350" s="25"/>
      <c r="E350" s="25"/>
      <c r="F350" s="25"/>
      <c r="G350" s="25">
        <v>37062.03</v>
      </c>
      <c r="H350" s="25"/>
      <c r="I350" s="25"/>
      <c r="J350" s="25">
        <f>30168.1+1820.4+747</f>
        <v>32735.5</v>
      </c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6"/>
      <c r="W350" s="25"/>
      <c r="X350" s="25"/>
    </row>
    <row r="351" spans="1:24" s="7" customFormat="1" ht="15.75" customHeight="1" x14ac:dyDescent="0.35">
      <c r="A351" s="10" t="s">
        <v>215</v>
      </c>
      <c r="B351" s="23">
        <v>60457.57</v>
      </c>
      <c r="C351" s="25">
        <f t="shared" si="5"/>
        <v>58585.03</v>
      </c>
      <c r="D351" s="25"/>
      <c r="E351" s="25"/>
      <c r="F351" s="25"/>
      <c r="G351" s="25">
        <f>11935.23+852.99</f>
        <v>12788.22</v>
      </c>
      <c r="H351" s="25"/>
      <c r="I351" s="25"/>
      <c r="J351" s="25"/>
      <c r="K351" s="25">
        <v>302</v>
      </c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6"/>
      <c r="W351" s="25"/>
      <c r="X351" s="25">
        <v>45494.81</v>
      </c>
    </row>
    <row r="352" spans="1:24" ht="15.75" customHeight="1" x14ac:dyDescent="0.35">
      <c r="A352" s="10" t="s">
        <v>216</v>
      </c>
      <c r="B352" s="23">
        <v>79711.56</v>
      </c>
      <c r="C352" s="25">
        <f t="shared" si="5"/>
        <v>776</v>
      </c>
      <c r="D352" s="25"/>
      <c r="E352" s="25"/>
      <c r="F352" s="25"/>
      <c r="G352" s="25"/>
      <c r="H352" s="25"/>
      <c r="I352" s="25"/>
      <c r="J352" s="25"/>
      <c r="K352" s="25">
        <v>776</v>
      </c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6"/>
      <c r="W352" s="25"/>
      <c r="X352" s="25"/>
    </row>
    <row r="353" spans="1:24" ht="15.75" customHeight="1" x14ac:dyDescent="0.35">
      <c r="A353" s="10" t="s">
        <v>217</v>
      </c>
      <c r="B353" s="23">
        <v>88754.02</v>
      </c>
      <c r="C353" s="25">
        <f t="shared" si="5"/>
        <v>69867.820000000007</v>
      </c>
      <c r="D353" s="25"/>
      <c r="E353" s="25"/>
      <c r="F353" s="25"/>
      <c r="G353" s="25"/>
      <c r="H353" s="25"/>
      <c r="I353" s="25"/>
      <c r="J353" s="25"/>
      <c r="K353" s="25"/>
      <c r="L353" s="25">
        <v>11100</v>
      </c>
      <c r="M353" s="25"/>
      <c r="N353" s="25"/>
      <c r="O353" s="25"/>
      <c r="P353" s="25"/>
      <c r="Q353" s="25"/>
      <c r="R353" s="25"/>
      <c r="S353" s="25"/>
      <c r="T353" s="25"/>
      <c r="U353" s="25"/>
      <c r="V353" s="26"/>
      <c r="W353" s="25"/>
      <c r="X353" s="25">
        <v>58767.82</v>
      </c>
    </row>
    <row r="354" spans="1:24" ht="15.75" customHeight="1" x14ac:dyDescent="0.35">
      <c r="A354" s="10" t="s">
        <v>218</v>
      </c>
      <c r="B354" s="23">
        <v>71600.53</v>
      </c>
      <c r="C354" s="25">
        <f t="shared" si="5"/>
        <v>0</v>
      </c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6"/>
      <c r="W354" s="25"/>
      <c r="X354" s="25"/>
    </row>
    <row r="355" spans="1:24" s="7" customFormat="1" ht="15.75" customHeight="1" x14ac:dyDescent="0.35">
      <c r="A355" s="10" t="s">
        <v>219</v>
      </c>
      <c r="B355" s="23">
        <v>106132.16</v>
      </c>
      <c r="C355" s="25">
        <f t="shared" si="5"/>
        <v>4768.4549999999999</v>
      </c>
      <c r="D355" s="25"/>
      <c r="E355" s="25"/>
      <c r="F355" s="25"/>
      <c r="G355" s="25">
        <v>995</v>
      </c>
      <c r="H355" s="25"/>
      <c r="I355" s="25"/>
      <c r="J355" s="25">
        <v>1200.1400000000001</v>
      </c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>
        <f>509.03+766</f>
        <v>1275.03</v>
      </c>
      <c r="V355" s="26">
        <f>432.765+865.52</f>
        <v>1298.2849999999999</v>
      </c>
      <c r="W355" s="25"/>
      <c r="X355" s="25"/>
    </row>
    <row r="356" spans="1:24" s="7" customFormat="1" ht="15.75" customHeight="1" x14ac:dyDescent="0.35">
      <c r="A356" s="10" t="s">
        <v>220</v>
      </c>
      <c r="B356" s="23">
        <v>87317.43</v>
      </c>
      <c r="C356" s="25">
        <f t="shared" si="5"/>
        <v>10414.810000000001</v>
      </c>
      <c r="D356" s="25"/>
      <c r="E356" s="25"/>
      <c r="F356" s="25"/>
      <c r="G356" s="25"/>
      <c r="H356" s="25"/>
      <c r="I356" s="25"/>
      <c r="J356" s="25"/>
      <c r="K356" s="25">
        <v>776</v>
      </c>
      <c r="L356" s="25">
        <v>7001.72</v>
      </c>
      <c r="M356" s="25"/>
      <c r="N356" s="25">
        <v>782.32</v>
      </c>
      <c r="O356" s="25"/>
      <c r="P356" s="25"/>
      <c r="Q356" s="25"/>
      <c r="R356" s="25"/>
      <c r="S356" s="25"/>
      <c r="T356" s="25">
        <v>1422</v>
      </c>
      <c r="U356" s="25"/>
      <c r="V356" s="26">
        <v>432.77</v>
      </c>
      <c r="W356" s="25"/>
      <c r="X356" s="25"/>
    </row>
    <row r="357" spans="1:24" ht="15" customHeight="1" x14ac:dyDescent="0.35">
      <c r="A357" s="10" t="s">
        <v>221</v>
      </c>
      <c r="B357" s="23">
        <v>42868.52</v>
      </c>
      <c r="C357" s="25">
        <f t="shared" si="5"/>
        <v>37126.31</v>
      </c>
      <c r="D357" s="25"/>
      <c r="E357" s="25"/>
      <c r="F357" s="25"/>
      <c r="G357" s="25"/>
      <c r="H357" s="25"/>
      <c r="I357" s="25"/>
      <c r="J357" s="25"/>
      <c r="K357" s="25"/>
      <c r="L357" s="25">
        <f>5425.38+7600</f>
        <v>13025.380000000001</v>
      </c>
      <c r="M357" s="25"/>
      <c r="N357" s="25"/>
      <c r="O357" s="25"/>
      <c r="P357" s="25"/>
      <c r="Q357" s="25"/>
      <c r="R357" s="25"/>
      <c r="S357" s="25"/>
      <c r="T357" s="25"/>
      <c r="U357" s="25"/>
      <c r="V357" s="26"/>
      <c r="W357" s="25"/>
      <c r="X357" s="25">
        <v>24100.93</v>
      </c>
    </row>
    <row r="358" spans="1:24" ht="15.75" customHeight="1" x14ac:dyDescent="0.35">
      <c r="A358" s="10" t="s">
        <v>222</v>
      </c>
      <c r="B358" s="23">
        <v>181993.52</v>
      </c>
      <c r="C358" s="25">
        <f t="shared" si="5"/>
        <v>608</v>
      </c>
      <c r="D358" s="25"/>
      <c r="E358" s="25"/>
      <c r="F358" s="25"/>
      <c r="G358" s="25"/>
      <c r="H358" s="25"/>
      <c r="I358" s="25"/>
      <c r="J358" s="25"/>
      <c r="K358" s="25">
        <v>608</v>
      </c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6"/>
      <c r="W358" s="25"/>
      <c r="X358" s="25"/>
    </row>
    <row r="359" spans="1:24" s="7" customFormat="1" ht="15.75" customHeight="1" x14ac:dyDescent="0.35">
      <c r="A359" s="10" t="s">
        <v>223</v>
      </c>
      <c r="B359" s="23">
        <v>50746.91</v>
      </c>
      <c r="C359" s="25">
        <f t="shared" si="5"/>
        <v>16208.96</v>
      </c>
      <c r="D359" s="25"/>
      <c r="E359" s="25"/>
      <c r="F359" s="25"/>
      <c r="G359" s="25"/>
      <c r="H359" s="25"/>
      <c r="I359" s="25"/>
      <c r="J359" s="25">
        <v>3802.37</v>
      </c>
      <c r="K359" s="25">
        <v>776</v>
      </c>
      <c r="L359" s="25">
        <v>11402</v>
      </c>
      <c r="M359" s="25"/>
      <c r="N359" s="25"/>
      <c r="O359" s="25"/>
      <c r="P359" s="25"/>
      <c r="Q359" s="25"/>
      <c r="R359" s="25"/>
      <c r="S359" s="25"/>
      <c r="T359" s="25"/>
      <c r="U359" s="25">
        <v>228.59</v>
      </c>
      <c r="V359" s="26"/>
      <c r="W359" s="25"/>
      <c r="X359" s="25"/>
    </row>
    <row r="360" spans="1:24" ht="15.75" customHeight="1" x14ac:dyDescent="0.35">
      <c r="A360" s="10" t="s">
        <v>224</v>
      </c>
      <c r="B360" s="23">
        <v>32584.639999999999</v>
      </c>
      <c r="C360" s="25">
        <f t="shared" si="5"/>
        <v>3327</v>
      </c>
      <c r="D360" s="25">
        <v>743</v>
      </c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>
        <v>2584</v>
      </c>
      <c r="R360" s="25"/>
      <c r="S360" s="25"/>
      <c r="T360" s="25"/>
      <c r="U360" s="25"/>
      <c r="V360" s="26"/>
      <c r="W360" s="25"/>
      <c r="X360" s="25"/>
    </row>
    <row r="361" spans="1:24" ht="15.75" customHeight="1" x14ac:dyDescent="0.35">
      <c r="A361" s="10" t="s">
        <v>225</v>
      </c>
      <c r="B361" s="23" t="s">
        <v>394</v>
      </c>
      <c r="C361" s="25">
        <f t="shared" si="5"/>
        <v>49788.59</v>
      </c>
      <c r="D361" s="25"/>
      <c r="E361" s="25"/>
      <c r="F361" s="25"/>
      <c r="G361" s="25"/>
      <c r="H361" s="25"/>
      <c r="I361" s="25"/>
      <c r="J361" s="25"/>
      <c r="K361" s="25">
        <v>376.48</v>
      </c>
      <c r="L361" s="25"/>
      <c r="M361" s="25"/>
      <c r="N361" s="25"/>
      <c r="O361" s="25"/>
      <c r="P361" s="25"/>
      <c r="Q361" s="25"/>
      <c r="R361" s="25"/>
      <c r="S361" s="25"/>
      <c r="T361" s="25">
        <v>1721.3</v>
      </c>
      <c r="U361" s="25">
        <v>1759.36</v>
      </c>
      <c r="V361" s="26"/>
      <c r="W361" s="25"/>
      <c r="X361" s="25">
        <v>45931.45</v>
      </c>
    </row>
    <row r="362" spans="1:24" ht="15.75" customHeight="1" x14ac:dyDescent="0.35">
      <c r="A362" s="10" t="s">
        <v>226</v>
      </c>
      <c r="B362" s="23">
        <v>188220.6</v>
      </c>
      <c r="C362" s="25">
        <f t="shared" si="5"/>
        <v>9329.4279999999999</v>
      </c>
      <c r="D362" s="25"/>
      <c r="E362" s="25"/>
      <c r="F362" s="25"/>
      <c r="G362" s="25"/>
      <c r="H362" s="25"/>
      <c r="I362" s="25"/>
      <c r="J362" s="25">
        <v>1820.4</v>
      </c>
      <c r="K362" s="25"/>
      <c r="L362" s="25"/>
      <c r="M362" s="25"/>
      <c r="N362" s="25"/>
      <c r="O362" s="25"/>
      <c r="P362" s="25"/>
      <c r="Q362" s="25"/>
      <c r="R362" s="25"/>
      <c r="S362" s="25"/>
      <c r="T362" s="25">
        <v>918.02800000000002</v>
      </c>
      <c r="U362" s="25">
        <f>1097.9+4627.58</f>
        <v>5725.48</v>
      </c>
      <c r="V362" s="26">
        <v>865.52</v>
      </c>
      <c r="W362" s="25"/>
      <c r="X362" s="25"/>
    </row>
    <row r="363" spans="1:24" ht="15.75" customHeight="1" x14ac:dyDescent="0.35">
      <c r="A363" s="10" t="s">
        <v>227</v>
      </c>
      <c r="B363" s="23">
        <v>105685.92</v>
      </c>
      <c r="C363" s="25">
        <f t="shared" si="5"/>
        <v>43040.14</v>
      </c>
      <c r="D363" s="25"/>
      <c r="E363" s="25"/>
      <c r="F363" s="25"/>
      <c r="G363" s="25"/>
      <c r="H363" s="25"/>
      <c r="I363" s="25"/>
      <c r="J363" s="25">
        <f>7326.17+3797.24</f>
        <v>11123.41</v>
      </c>
      <c r="K363" s="25"/>
      <c r="L363" s="25">
        <v>31309.759999999998</v>
      </c>
      <c r="M363" s="25"/>
      <c r="N363" s="25"/>
      <c r="O363" s="25"/>
      <c r="P363" s="25"/>
      <c r="Q363" s="25"/>
      <c r="R363" s="25"/>
      <c r="S363" s="25"/>
      <c r="T363" s="25"/>
      <c r="U363" s="25">
        <v>606.97</v>
      </c>
      <c r="V363" s="26"/>
      <c r="W363" s="25"/>
      <c r="X363" s="25"/>
    </row>
    <row r="364" spans="1:24" s="9" customFormat="1" ht="15.75" customHeight="1" x14ac:dyDescent="0.35">
      <c r="A364" s="40" t="s">
        <v>228</v>
      </c>
      <c r="B364" s="41">
        <v>341912.16</v>
      </c>
      <c r="C364" s="25">
        <f t="shared" si="5"/>
        <v>47767.819000000003</v>
      </c>
      <c r="D364" s="31"/>
      <c r="E364" s="31"/>
      <c r="F364" s="31"/>
      <c r="G364" s="31"/>
      <c r="H364" s="31"/>
      <c r="I364" s="31"/>
      <c r="J364" s="31">
        <f>565.22+7682.98</f>
        <v>8248.1999999999989</v>
      </c>
      <c r="K364" s="31">
        <v>366.98</v>
      </c>
      <c r="L364" s="31"/>
      <c r="M364" s="31"/>
      <c r="N364" s="31">
        <v>1721.0889999999999</v>
      </c>
      <c r="O364" s="31">
        <v>13994.42</v>
      </c>
      <c r="P364" s="31"/>
      <c r="Q364" s="31">
        <v>22160.400000000001</v>
      </c>
      <c r="R364" s="31"/>
      <c r="S364" s="31"/>
      <c r="T364" s="31">
        <f>1057.73+219</f>
        <v>1276.73</v>
      </c>
      <c r="U364" s="31"/>
      <c r="V364" s="32"/>
      <c r="W364" s="31"/>
      <c r="X364" s="31"/>
    </row>
    <row r="365" spans="1:24" ht="15.75" customHeight="1" x14ac:dyDescent="0.35">
      <c r="A365" s="11" t="s">
        <v>229</v>
      </c>
      <c r="B365" s="23">
        <v>254544.6</v>
      </c>
      <c r="C365" s="25">
        <f t="shared" si="5"/>
        <v>17769.730000000003</v>
      </c>
      <c r="D365" s="25"/>
      <c r="E365" s="25"/>
      <c r="F365" s="25"/>
      <c r="G365" s="25"/>
      <c r="H365" s="25"/>
      <c r="I365" s="25"/>
      <c r="J365" s="25">
        <v>1839.54</v>
      </c>
      <c r="K365" s="25"/>
      <c r="L365" s="25"/>
      <c r="M365" s="25"/>
      <c r="N365" s="25"/>
      <c r="O365" s="25"/>
      <c r="P365" s="25">
        <v>13467</v>
      </c>
      <c r="Q365" s="25">
        <v>1136.47</v>
      </c>
      <c r="R365" s="25"/>
      <c r="S365" s="25">
        <v>1326.72</v>
      </c>
      <c r="T365" s="25"/>
      <c r="U365" s="25"/>
      <c r="V365" s="26"/>
      <c r="W365" s="25"/>
      <c r="X365" s="25"/>
    </row>
    <row r="366" spans="1:24" s="7" customFormat="1" ht="15.75" customHeight="1" x14ac:dyDescent="0.35">
      <c r="A366" s="11" t="s">
        <v>230</v>
      </c>
      <c r="B366" s="23">
        <v>319558.68</v>
      </c>
      <c r="C366" s="25">
        <f t="shared" si="5"/>
        <v>131383.79999999999</v>
      </c>
      <c r="D366" s="25">
        <v>13503.65</v>
      </c>
      <c r="E366" s="25"/>
      <c r="F366" s="25"/>
      <c r="G366" s="25"/>
      <c r="H366" s="25"/>
      <c r="I366" s="25"/>
      <c r="J366" s="25">
        <f>3130.2+1503</f>
        <v>4633.2</v>
      </c>
      <c r="K366" s="25"/>
      <c r="L366" s="25">
        <v>9335.6299999999992</v>
      </c>
      <c r="M366" s="25"/>
      <c r="N366" s="25"/>
      <c r="O366" s="25"/>
      <c r="P366" s="25"/>
      <c r="Q366" s="25">
        <f>5638.37+41131.4+23795.7</f>
        <v>70565.47</v>
      </c>
      <c r="R366" s="25"/>
      <c r="S366" s="25">
        <f>1271.6+22870.4+5877.48</f>
        <v>30019.48</v>
      </c>
      <c r="T366" s="25">
        <f>1159.81+377</f>
        <v>1536.81</v>
      </c>
      <c r="U366" s="25">
        <v>1789.56</v>
      </c>
      <c r="V366" s="26"/>
      <c r="W366" s="25"/>
      <c r="X366" s="25"/>
    </row>
    <row r="367" spans="1:24" s="7" customFormat="1" ht="15.75" customHeight="1" x14ac:dyDescent="0.35">
      <c r="A367" s="11" t="s">
        <v>231</v>
      </c>
      <c r="B367" s="23">
        <v>249954.24</v>
      </c>
      <c r="C367" s="25">
        <f t="shared" si="5"/>
        <v>7586.11</v>
      </c>
      <c r="D367" s="25"/>
      <c r="E367" s="25"/>
      <c r="F367" s="25"/>
      <c r="G367" s="25"/>
      <c r="H367" s="25"/>
      <c r="I367" s="25"/>
      <c r="J367" s="25">
        <v>2797.27</v>
      </c>
      <c r="K367" s="25">
        <f>1129.4+376.48+301</f>
        <v>1806.88</v>
      </c>
      <c r="L367" s="25"/>
      <c r="M367" s="25"/>
      <c r="N367" s="25"/>
      <c r="O367" s="25"/>
      <c r="P367" s="25"/>
      <c r="Q367" s="25">
        <v>1884</v>
      </c>
      <c r="R367" s="25"/>
      <c r="S367" s="25">
        <f>405.96+692</f>
        <v>1097.96</v>
      </c>
      <c r="T367" s="25"/>
      <c r="U367" s="25"/>
      <c r="V367" s="26"/>
      <c r="W367" s="25"/>
      <c r="X367" s="25"/>
    </row>
    <row r="368" spans="1:24" ht="15.75" customHeight="1" x14ac:dyDescent="0.35">
      <c r="A368" s="11" t="s">
        <v>232</v>
      </c>
      <c r="B368" s="23">
        <v>88227.839999999997</v>
      </c>
      <c r="C368" s="25">
        <f t="shared" si="5"/>
        <v>0</v>
      </c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6"/>
      <c r="W368" s="25"/>
      <c r="X368" s="25"/>
    </row>
    <row r="369" spans="1:24" s="46" customFormat="1" ht="15.75" customHeight="1" x14ac:dyDescent="0.35">
      <c r="A369" s="11" t="s">
        <v>233</v>
      </c>
      <c r="B369" s="23">
        <v>488217.24</v>
      </c>
      <c r="C369" s="25">
        <f t="shared" si="5"/>
        <v>131142.30000000002</v>
      </c>
      <c r="D369" s="25"/>
      <c r="E369" s="25"/>
      <c r="F369" s="25"/>
      <c r="G369" s="25"/>
      <c r="H369" s="25"/>
      <c r="I369" s="25"/>
      <c r="J369" s="25">
        <f>5701.64+5888.94+3357.82+17542.63</f>
        <v>32491.03</v>
      </c>
      <c r="K369" s="25">
        <v>22602.16</v>
      </c>
      <c r="L369" s="25">
        <v>1900.32</v>
      </c>
      <c r="M369" s="25"/>
      <c r="N369" s="25">
        <v>5055.12</v>
      </c>
      <c r="O369" s="25"/>
      <c r="P369" s="25"/>
      <c r="Q369" s="25">
        <f>2255.35+9444.31</f>
        <v>11699.66</v>
      </c>
      <c r="R369" s="25"/>
      <c r="S369" s="25">
        <f>525.96+4796.5+1382.96</f>
        <v>6705.42</v>
      </c>
      <c r="T369" s="25"/>
      <c r="U369" s="25"/>
      <c r="V369" s="26">
        <v>432.77</v>
      </c>
      <c r="W369" s="25">
        <v>50255.82</v>
      </c>
      <c r="X369" s="25"/>
    </row>
    <row r="370" spans="1:24" ht="15.75" customHeight="1" x14ac:dyDescent="0.35">
      <c r="A370" s="11" t="s">
        <v>234</v>
      </c>
      <c r="B370" s="23">
        <v>95098.8</v>
      </c>
      <c r="C370" s="25">
        <f t="shared" si="5"/>
        <v>24273.070000000003</v>
      </c>
      <c r="D370" s="25"/>
      <c r="E370" s="25"/>
      <c r="F370" s="25"/>
      <c r="G370" s="25">
        <f>9554.81+229</f>
        <v>9783.81</v>
      </c>
      <c r="H370" s="25"/>
      <c r="I370" s="25"/>
      <c r="J370" s="25">
        <v>6819.02</v>
      </c>
      <c r="K370" s="25">
        <v>366.98</v>
      </c>
      <c r="L370" s="25"/>
      <c r="M370" s="25"/>
      <c r="N370" s="25"/>
      <c r="O370" s="25">
        <v>5242</v>
      </c>
      <c r="P370" s="25"/>
      <c r="Q370" s="25">
        <v>1628.49</v>
      </c>
      <c r="R370" s="25"/>
      <c r="S370" s="25"/>
      <c r="T370" s="25"/>
      <c r="U370" s="25"/>
      <c r="V370" s="26">
        <v>432.77</v>
      </c>
      <c r="W370" s="25"/>
      <c r="X370" s="25"/>
    </row>
    <row r="371" spans="1:24" s="7" customFormat="1" ht="15.75" customHeight="1" x14ac:dyDescent="0.35">
      <c r="A371" s="11" t="s">
        <v>235</v>
      </c>
      <c r="B371" s="23">
        <v>112527.24</v>
      </c>
      <c r="C371" s="25">
        <f t="shared" si="5"/>
        <v>283300.70999999996</v>
      </c>
      <c r="D371" s="25"/>
      <c r="E371" s="25"/>
      <c r="F371" s="25"/>
      <c r="G371" s="25">
        <v>9451.34</v>
      </c>
      <c r="H371" s="25">
        <v>195791</v>
      </c>
      <c r="I371" s="25"/>
      <c r="J371" s="25">
        <f>1366.37+378.544+994</f>
        <v>2738.9139999999998</v>
      </c>
      <c r="K371" s="25"/>
      <c r="L371" s="25">
        <f>2733.31+1900.32</f>
        <v>4633.63</v>
      </c>
      <c r="M371" s="25"/>
      <c r="N371" s="25">
        <f>10418.8+3361.68</f>
        <v>13780.48</v>
      </c>
      <c r="O371" s="25"/>
      <c r="P371" s="25"/>
      <c r="Q371" s="25">
        <f>4351.38+591.935</f>
        <v>4943.3150000000005</v>
      </c>
      <c r="R371" s="25"/>
      <c r="S371" s="25">
        <v>5915.4</v>
      </c>
      <c r="T371" s="25">
        <f>1633.63+1094</f>
        <v>2727.63</v>
      </c>
      <c r="U371" s="25"/>
      <c r="V371" s="26">
        <v>432.77</v>
      </c>
      <c r="W371" s="25">
        <v>42886.231</v>
      </c>
      <c r="X371" s="25"/>
    </row>
    <row r="372" spans="1:24" s="7" customFormat="1" ht="15.75" customHeight="1" x14ac:dyDescent="0.35">
      <c r="A372" s="11" t="s">
        <v>236</v>
      </c>
      <c r="B372" s="23">
        <v>186054.96</v>
      </c>
      <c r="C372" s="25">
        <f t="shared" si="5"/>
        <v>44400.94</v>
      </c>
      <c r="D372" s="25"/>
      <c r="E372" s="25"/>
      <c r="F372" s="25"/>
      <c r="G372" s="25"/>
      <c r="H372" s="25"/>
      <c r="I372" s="25"/>
      <c r="J372" s="25">
        <v>1938</v>
      </c>
      <c r="K372" s="25">
        <f>734.22+5434.74</f>
        <v>6168.96</v>
      </c>
      <c r="L372" s="25"/>
      <c r="M372" s="25"/>
      <c r="N372" s="25">
        <v>1447.33</v>
      </c>
      <c r="O372" s="25"/>
      <c r="P372" s="25"/>
      <c r="Q372" s="25">
        <f>10837.04+3639.7+4616.45</f>
        <v>19093.190000000002</v>
      </c>
      <c r="R372" s="25"/>
      <c r="S372" s="25">
        <f>3693.71+691.48</f>
        <v>4385.1900000000005</v>
      </c>
      <c r="T372" s="25"/>
      <c r="U372" s="25">
        <v>10056.5</v>
      </c>
      <c r="V372" s="26">
        <f>432.77+879</f>
        <v>1311.77</v>
      </c>
      <c r="W372" s="25"/>
      <c r="X372" s="25"/>
    </row>
    <row r="373" spans="1:24" ht="15.75" customHeight="1" x14ac:dyDescent="0.35">
      <c r="A373" s="11" t="s">
        <v>237</v>
      </c>
      <c r="B373" s="23">
        <v>90236.64</v>
      </c>
      <c r="C373" s="25">
        <f t="shared" si="5"/>
        <v>58477.372000000003</v>
      </c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>
        <v>4070.4</v>
      </c>
      <c r="T373" s="25">
        <v>495.91899999999998</v>
      </c>
      <c r="U373" s="25"/>
      <c r="V373" s="26">
        <v>1081.163</v>
      </c>
      <c r="W373" s="25"/>
      <c r="X373" s="25">
        <v>52829.89</v>
      </c>
    </row>
    <row r="374" spans="1:24" ht="15.75" customHeight="1" x14ac:dyDescent="0.35">
      <c r="A374" s="11" t="s">
        <v>238</v>
      </c>
      <c r="B374" s="23">
        <v>142760.64000000001</v>
      </c>
      <c r="C374" s="25">
        <f t="shared" si="5"/>
        <v>104029.85</v>
      </c>
      <c r="D374" s="25"/>
      <c r="E374" s="25"/>
      <c r="F374" s="25"/>
      <c r="G374" s="25"/>
      <c r="H374" s="25"/>
      <c r="I374" s="25"/>
      <c r="J374" s="25">
        <v>989.71</v>
      </c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6"/>
      <c r="W374" s="25"/>
      <c r="X374" s="25">
        <v>103040.14</v>
      </c>
    </row>
    <row r="375" spans="1:24" s="7" customFormat="1" ht="15.75" customHeight="1" x14ac:dyDescent="0.35">
      <c r="A375" s="11" t="s">
        <v>239</v>
      </c>
      <c r="B375" s="23">
        <v>186883.8</v>
      </c>
      <c r="C375" s="25">
        <f t="shared" si="5"/>
        <v>399786.63</v>
      </c>
      <c r="D375" s="25">
        <v>1433.48</v>
      </c>
      <c r="E375" s="25"/>
      <c r="F375" s="25"/>
      <c r="G375" s="25">
        <f>273207.361+9451.34</f>
        <v>282658.701</v>
      </c>
      <c r="H375" s="25"/>
      <c r="I375" s="25"/>
      <c r="J375" s="25">
        <f>294.59+378.544</f>
        <v>673.13400000000001</v>
      </c>
      <c r="K375" s="25">
        <v>1505.9</v>
      </c>
      <c r="L375" s="25">
        <v>2357.3200000000002</v>
      </c>
      <c r="M375" s="25"/>
      <c r="N375" s="25"/>
      <c r="O375" s="25"/>
      <c r="P375" s="25"/>
      <c r="Q375" s="25"/>
      <c r="R375" s="25"/>
      <c r="S375" s="25"/>
      <c r="T375" s="25"/>
      <c r="U375" s="25">
        <v>1287</v>
      </c>
      <c r="V375" s="26">
        <f>1636.61+843.995+2953.2</f>
        <v>5433.8050000000003</v>
      </c>
      <c r="W375" s="25"/>
      <c r="X375" s="25">
        <v>104437.29</v>
      </c>
    </row>
    <row r="376" spans="1:24" s="7" customFormat="1" ht="15.75" customHeight="1" x14ac:dyDescent="0.35">
      <c r="A376" s="11" t="s">
        <v>240</v>
      </c>
      <c r="B376" s="23">
        <v>453780.47999999998</v>
      </c>
      <c r="C376" s="25">
        <f t="shared" si="5"/>
        <v>524130.35399999993</v>
      </c>
      <c r="D376" s="25"/>
      <c r="E376" s="25"/>
      <c r="F376" s="25"/>
      <c r="G376" s="25">
        <v>592.84</v>
      </c>
      <c r="H376" s="25"/>
      <c r="I376" s="25"/>
      <c r="J376" s="25">
        <v>2664.11</v>
      </c>
      <c r="K376" s="25">
        <v>376.47899999999998</v>
      </c>
      <c r="L376" s="25">
        <f>125287+2000+69014.17</f>
        <v>196301.16999999998</v>
      </c>
      <c r="M376" s="25"/>
      <c r="N376" s="25"/>
      <c r="O376" s="25"/>
      <c r="P376" s="25"/>
      <c r="Q376" s="25">
        <f>3293.85+2066.015+477</f>
        <v>5836.8649999999998</v>
      </c>
      <c r="R376" s="25">
        <v>3999.16</v>
      </c>
      <c r="S376" s="25"/>
      <c r="T376" s="25"/>
      <c r="U376" s="25"/>
      <c r="V376" s="26"/>
      <c r="W376" s="25"/>
      <c r="X376" s="25">
        <v>314359.73</v>
      </c>
    </row>
    <row r="377" spans="1:24" s="7" customFormat="1" ht="15.75" customHeight="1" x14ac:dyDescent="0.35">
      <c r="A377" s="11" t="s">
        <v>241</v>
      </c>
      <c r="B377" s="23">
        <v>685102.8</v>
      </c>
      <c r="C377" s="25">
        <f t="shared" si="5"/>
        <v>36112.399999999994</v>
      </c>
      <c r="D377" s="25"/>
      <c r="E377" s="25"/>
      <c r="F377" s="25"/>
      <c r="G377" s="25"/>
      <c r="H377" s="25"/>
      <c r="I377" s="25"/>
      <c r="J377" s="25">
        <f>11778+7484.22</f>
        <v>19262.22</v>
      </c>
      <c r="K377" s="25">
        <f>376.48+9885.64+776</f>
        <v>11038.119999999999</v>
      </c>
      <c r="L377" s="25"/>
      <c r="M377" s="25"/>
      <c r="N377" s="25"/>
      <c r="O377" s="25"/>
      <c r="P377" s="25"/>
      <c r="Q377" s="25">
        <v>2372.94</v>
      </c>
      <c r="R377" s="25"/>
      <c r="S377" s="25">
        <v>345.74</v>
      </c>
      <c r="T377" s="25">
        <v>2545.02</v>
      </c>
      <c r="U377" s="25">
        <v>548.36</v>
      </c>
      <c r="V377" s="26"/>
      <c r="W377" s="25"/>
      <c r="X377" s="25"/>
    </row>
    <row r="378" spans="1:24" s="46" customFormat="1" ht="15.75" customHeight="1" x14ac:dyDescent="0.35">
      <c r="A378" s="11" t="s">
        <v>242</v>
      </c>
      <c r="B378" s="23">
        <v>161373</v>
      </c>
      <c r="C378" s="25">
        <f t="shared" si="5"/>
        <v>49260.710999999996</v>
      </c>
      <c r="D378" s="25"/>
      <c r="E378" s="25"/>
      <c r="F378" s="25"/>
      <c r="G378" s="25"/>
      <c r="H378" s="25"/>
      <c r="I378" s="25"/>
      <c r="J378" s="25">
        <v>901.33100000000002</v>
      </c>
      <c r="K378" s="25">
        <f>376.48+376.479</f>
        <v>752.95900000000006</v>
      </c>
      <c r="L378" s="25">
        <v>2333.91</v>
      </c>
      <c r="M378" s="25"/>
      <c r="N378" s="25"/>
      <c r="O378" s="25">
        <v>4896.76</v>
      </c>
      <c r="P378" s="25"/>
      <c r="Q378" s="25">
        <v>1966</v>
      </c>
      <c r="R378" s="25"/>
      <c r="S378" s="25"/>
      <c r="T378" s="25">
        <f>6091.75+3658</f>
        <v>9749.75</v>
      </c>
      <c r="U378" s="25">
        <f>24771.3+112.253</f>
        <v>24883.553</v>
      </c>
      <c r="V378" s="26">
        <v>3776.4479999999999</v>
      </c>
      <c r="W378" s="25"/>
      <c r="X378" s="25"/>
    </row>
    <row r="379" spans="1:24" ht="15.75" customHeight="1" x14ac:dyDescent="0.35">
      <c r="A379" s="10" t="s">
        <v>243</v>
      </c>
      <c r="B379" s="23">
        <v>107831.88</v>
      </c>
      <c r="C379" s="25">
        <f t="shared" si="5"/>
        <v>448167.00900000002</v>
      </c>
      <c r="D379" s="25"/>
      <c r="E379" s="25"/>
      <c r="F379" s="25">
        <v>390143</v>
      </c>
      <c r="G379" s="25"/>
      <c r="H379" s="25"/>
      <c r="I379" s="25"/>
      <c r="J379" s="25">
        <f>523+1130.51</f>
        <v>1653.51</v>
      </c>
      <c r="K379" s="25"/>
      <c r="L379" s="25"/>
      <c r="M379" s="25"/>
      <c r="N379" s="25">
        <v>1246.6790000000001</v>
      </c>
      <c r="O379" s="25"/>
      <c r="P379" s="25"/>
      <c r="Q379" s="25">
        <v>1770</v>
      </c>
      <c r="R379" s="25"/>
      <c r="S379" s="25"/>
      <c r="T379" s="25"/>
      <c r="U379" s="25"/>
      <c r="V379" s="26"/>
      <c r="W379" s="25"/>
      <c r="X379" s="25">
        <v>53353.82</v>
      </c>
    </row>
    <row r="380" spans="1:24" ht="15.75" customHeight="1" x14ac:dyDescent="0.35">
      <c r="A380" s="11" t="s">
        <v>244</v>
      </c>
      <c r="B380" s="23">
        <v>169793.88</v>
      </c>
      <c r="C380" s="25">
        <f t="shared" si="5"/>
        <v>1526.92</v>
      </c>
      <c r="D380" s="25"/>
      <c r="E380" s="25"/>
      <c r="F380" s="25"/>
      <c r="G380" s="25"/>
      <c r="H380" s="25"/>
      <c r="I380" s="25"/>
      <c r="J380" s="25">
        <v>1159.94</v>
      </c>
      <c r="K380" s="25">
        <v>366.98</v>
      </c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6"/>
      <c r="W380" s="25"/>
      <c r="X380" s="25"/>
    </row>
    <row r="381" spans="1:24" s="7" customFormat="1" ht="14.25" customHeight="1" x14ac:dyDescent="0.35">
      <c r="A381" s="11" t="s">
        <v>245</v>
      </c>
      <c r="B381" s="23">
        <v>464815.32</v>
      </c>
      <c r="C381" s="25">
        <f t="shared" si="5"/>
        <v>1108809.8339999998</v>
      </c>
      <c r="D381" s="25">
        <v>165988.29999999999</v>
      </c>
      <c r="E381" s="25"/>
      <c r="F381" s="25">
        <v>243730</v>
      </c>
      <c r="G381" s="25">
        <f>63142.6+16207.05+181097</f>
        <v>260446.65</v>
      </c>
      <c r="H381" s="25"/>
      <c r="I381" s="25"/>
      <c r="J381" s="25">
        <f>4630+3417.33+5499.76+549.05</f>
        <v>14096.14</v>
      </c>
      <c r="K381" s="25">
        <v>592.87</v>
      </c>
      <c r="L381" s="25">
        <f>130023+1767.99</f>
        <v>131790.99</v>
      </c>
      <c r="M381" s="25">
        <v>4630.6400000000003</v>
      </c>
      <c r="N381" s="25">
        <f>6014.14+20681.3054+643.3006+620.28</f>
        <v>27959.025999999998</v>
      </c>
      <c r="O381" s="25"/>
      <c r="P381" s="25">
        <v>582.91999999999996</v>
      </c>
      <c r="Q381" s="25">
        <f>14990.9+13261.67</f>
        <v>28252.57</v>
      </c>
      <c r="R381" s="25"/>
      <c r="S381" s="25">
        <f>1173.47+691.48</f>
        <v>1864.95</v>
      </c>
      <c r="T381" s="25">
        <v>2319.62</v>
      </c>
      <c r="U381" s="25">
        <f>9138.22+1100.94</f>
        <v>10239.16</v>
      </c>
      <c r="V381" s="26">
        <v>3776.4479999999999</v>
      </c>
      <c r="W381" s="25"/>
      <c r="X381" s="25">
        <v>217170.19</v>
      </c>
    </row>
    <row r="382" spans="1:24" s="7" customFormat="1" ht="15.75" customHeight="1" x14ac:dyDescent="0.35">
      <c r="A382" s="11" t="s">
        <v>246</v>
      </c>
      <c r="B382" s="23">
        <v>800195.76</v>
      </c>
      <c r="C382" s="25">
        <f t="shared" si="5"/>
        <v>469431.86</v>
      </c>
      <c r="D382" s="25">
        <v>12105.29</v>
      </c>
      <c r="E382" s="25"/>
      <c r="F382" s="25"/>
      <c r="G382" s="25">
        <f>627.68+121959</f>
        <v>122586.68</v>
      </c>
      <c r="H382" s="25"/>
      <c r="I382" s="25"/>
      <c r="J382" s="25">
        <f>2613.74+2339.94</f>
        <v>4953.68</v>
      </c>
      <c r="K382" s="25">
        <f>13970.2+776</f>
        <v>14746.2</v>
      </c>
      <c r="L382" s="25">
        <f>8579.17+7608.51</f>
        <v>16187.68</v>
      </c>
      <c r="M382" s="25"/>
      <c r="N382" s="25">
        <v>704.57799999999997</v>
      </c>
      <c r="O382" s="25">
        <v>20275.400000000001</v>
      </c>
      <c r="P382" s="25"/>
      <c r="Q382" s="25">
        <f>5823.52+7848.99+14148.55+14739.91+2977.14</f>
        <v>45538.11</v>
      </c>
      <c r="R382" s="25"/>
      <c r="S382" s="25">
        <v>625</v>
      </c>
      <c r="T382" s="25"/>
      <c r="U382" s="25">
        <v>2036.1</v>
      </c>
      <c r="V382" s="26">
        <f>432.77+2217.491+1207.801</f>
        <v>3858.0619999999999</v>
      </c>
      <c r="W382" s="25"/>
      <c r="X382" s="25">
        <v>225815.08</v>
      </c>
    </row>
    <row r="383" spans="1:24" ht="15.75" customHeight="1" x14ac:dyDescent="0.35">
      <c r="A383" s="11" t="s">
        <v>247</v>
      </c>
      <c r="B383" s="23">
        <v>84939.12</v>
      </c>
      <c r="C383" s="25">
        <f>D383+E383+G383+H383+I383+J383+K383+L383+N383+O383+P383+Q383+R383+S383+T383+U383+V383+W383+X383+F383</f>
        <v>20264.730000000003</v>
      </c>
      <c r="D383" s="25">
        <v>12205.72</v>
      </c>
      <c r="E383" s="25"/>
      <c r="F383" s="25"/>
      <c r="G383" s="25">
        <f>548.11+767.35</f>
        <v>1315.46</v>
      </c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>
        <v>2881.15</v>
      </c>
      <c r="U383" s="25"/>
      <c r="V383" s="26">
        <v>3862.4</v>
      </c>
      <c r="W383" s="25"/>
      <c r="X383" s="25"/>
    </row>
    <row r="386" spans="1:3" ht="15.5" x14ac:dyDescent="0.35">
      <c r="A386" s="50" t="s">
        <v>397</v>
      </c>
      <c r="B386" s="51"/>
      <c r="C386" s="51" t="s">
        <v>398</v>
      </c>
    </row>
    <row r="388" spans="1:3" x14ac:dyDescent="0.35">
      <c r="A388" t="s">
        <v>399</v>
      </c>
    </row>
    <row r="389" spans="1:3" x14ac:dyDescent="0.35">
      <c r="A389" t="s">
        <v>400</v>
      </c>
    </row>
  </sheetData>
  <autoFilter ref="A12:X383"/>
  <mergeCells count="1">
    <mergeCell ref="A9:X9"/>
  </mergeCells>
  <pageMargins left="1.299212598425197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пто3</dc:creator>
  <cp:lastModifiedBy>ooDAV</cp:lastModifiedBy>
  <cp:lastPrinted>2013-11-21T06:00:19Z</cp:lastPrinted>
  <dcterms:created xsi:type="dcterms:W3CDTF">2013-07-13T05:18:49Z</dcterms:created>
  <dcterms:modified xsi:type="dcterms:W3CDTF">2014-02-18T13:00:09Z</dcterms:modified>
</cp:coreProperties>
</file>